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ivotTables/pivotTable1.xml" ContentType="application/vnd.openxmlformats-officedocument.spreadsheetml.pivotTable+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codeName="ThisWorkbook" defaultThemeVersion="166925"/>
  <mc:AlternateContent xmlns:mc="http://schemas.openxmlformats.org/markup-compatibility/2006">
    <mc:Choice Requires="x15">
      <x15ac:absPath xmlns:x15ac="http://schemas.microsoft.com/office/spreadsheetml/2010/11/ac" url="https://riverenergyconsultants.sharepoint.com/sites/CIMC/Shared Documents/04 CIMC Resources/03 Spreadsheets/Prescriptive Calculators/Prescriptive BMS Savings Tool/2024/"/>
    </mc:Choice>
  </mc:AlternateContent>
  <xr:revisionPtr revIDLastSave="0" documentId="8_{B8C201DA-A420-4BFF-90B9-82AF70D1FE0E}" xr6:coauthVersionLast="47" xr6:coauthVersionMax="47" xr10:uidLastSave="{00000000-0000-0000-0000-000000000000}"/>
  <workbookProtection workbookAlgorithmName="SHA-512" workbookHashValue="VAMNddKAXZsmiDw2T7VYZ4Z8sSGkGj4ledHOUBio7wzrnZOQhvUbmLruVsPZaQ4AqO+xODLvrFRrma6I377Chw==" workbookSaltValue="VsMYfbs+5R6Rgjmc4OuQRQ==" workbookSpinCount="100000" lockStructure="1"/>
  <bookViews>
    <workbookView xWindow="-28920" yWindow="-120" windowWidth="29040" windowHeight="15840" tabRatio="757" firstSheet="3" activeTab="3" xr2:uid="{8A6E836F-2334-4D6E-9220-EAD350697206}"/>
  </bookViews>
  <sheets>
    <sheet name="Tool Information" sheetId="39" r:id="rId1"/>
    <sheet name="Program Information" sheetId="40" r:id="rId2"/>
    <sheet name="Sequence Eligibility" sheetId="57" r:id="rId3"/>
    <sheet name="User Inputs and Savings" sheetId="47" r:id="rId4"/>
    <sheet name="PA Only - Pre-Inspection" sheetId="56" r:id="rId5"/>
    <sheet name="PA Only - MRD Equipment List" sheetId="37" r:id="rId6"/>
    <sheet name="PA Only - Project MRD" sheetId="38" r:id="rId7"/>
    <sheet name="Incentive Calc" sheetId="53" state="hidden" r:id="rId8"/>
    <sheet name="Project Notes - Optional" sheetId="30" r:id="rId9"/>
    <sheet name="EUI Benchmark" sheetId="36" r:id="rId10"/>
    <sheet name="Project Savings" sheetId="48" state="veryHidden" r:id="rId11"/>
    <sheet name="Equipment and SOO" sheetId="44" state="veryHidden" r:id="rId12"/>
    <sheet name="for analysis in rows" sheetId="55" state="hidden" r:id="rId13"/>
    <sheet name="Tables" sheetId="20" state="hidden" r:id="rId14"/>
    <sheet name="Assumptions" sheetId="2" state="hidden" r:id="rId15"/>
    <sheet name="Project Verification V1" sheetId="29" state="hidden" r:id="rId16"/>
    <sheet name="Building Savings" sheetId="11" state="veryHidden" r:id="rId17"/>
    <sheet name="Schedule" sheetId="4" state="veryHidden" r:id="rId18"/>
    <sheet name="CW Reset" sheetId="25" state="veryHidden" r:id="rId19"/>
    <sheet name="DAT reset" sheetId="27" state="veryHidden" r:id="rId20"/>
    <sheet name="Static Pressure Reset" sheetId="6" state="veryHidden" r:id="rId21"/>
    <sheet name="Opt StartStop" sheetId="3" state="veryHidden" r:id="rId22"/>
    <sheet name="CHW Reset" sheetId="5" state="veryHidden" r:id="rId23"/>
    <sheet name="HW Reset" sheetId="7" state="veryHidden" r:id="rId24"/>
    <sheet name="DCV" sheetId="8" state="veryHidden" r:id="rId25"/>
    <sheet name="Economizer" sheetId="26" state="veryHidden" r:id="rId26"/>
  </sheets>
  <definedNames>
    <definedName name="_xlnm._FilterDatabase" localSheetId="14" hidden="1">Assumptions!$A$3:$I$3</definedName>
    <definedName name="_xlnm._FilterDatabase" localSheetId="11" hidden="1">'Equipment and SOO'!$A$6:$AD$42</definedName>
    <definedName name="_xlnm._FilterDatabase" localSheetId="1" hidden="1">'Program Information'!$A$7:$D$40</definedName>
    <definedName name="bh_HP">'Equipment and SOO'!$C$24:$C$30</definedName>
    <definedName name="cc">Tables!$F$77:$F$79</definedName>
    <definedName name="cc_VRF">Tables!$E$77:$E$78</definedName>
    <definedName name="none">'Equipment and SOO'!$C$24</definedName>
    <definedName name="ph_full">Tables!$I$64:$I$71</definedName>
    <definedName name="ph_other">Tables!$H$64:$H$70</definedName>
    <definedName name="ph_UV">Tables!$G$64:$G$68</definedName>
    <definedName name="ph_VRF">Tables!$E$64:$E$65</definedName>
    <definedName name="ph_WLHP">Tables!$F$64:$F$67</definedName>
    <definedName name="_xlnm.Print_Area" localSheetId="4">'PA Only - Pre-Inspection'!$A$6:$Y$71</definedName>
    <definedName name="_xlnm.Print_Area" localSheetId="6">'PA Only - Project MRD'!$A$6:$L$76</definedName>
    <definedName name="tu_centralized">Tables!$E$52:$E$59</definedName>
    <definedName name="tu_decentralized">Tables!$F$52:$F$53</definedName>
    <definedName name="TU_full">Tables!$H$52:$H$61</definedName>
  </definedNames>
  <calcPr calcId="191028"/>
  <pivotCaches>
    <pivotCache cacheId="3592" r:id="rId2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47" l="1"/>
  <c r="C9" i="47"/>
  <c r="C8" i="47"/>
  <c r="F5" i="47"/>
  <c r="F6" i="47"/>
  <c r="H8" i="47"/>
  <c r="C7" i="47"/>
  <c r="C6" i="47"/>
  <c r="C5" i="47"/>
  <c r="C4" i="47"/>
  <c r="J10" i="44"/>
  <c r="D32" i="55" l="1"/>
  <c r="S6" i="55" s="1"/>
  <c r="E32" i="55"/>
  <c r="S7" i="55" s="1"/>
  <c r="F32" i="55"/>
  <c r="S8" i="55" s="1"/>
  <c r="G32" i="55"/>
  <c r="S9" i="55" s="1"/>
  <c r="D33" i="55"/>
  <c r="T6" i="55" s="1"/>
  <c r="E33" i="55"/>
  <c r="T7" i="55" s="1"/>
  <c r="F33" i="55"/>
  <c r="T8" i="55" s="1"/>
  <c r="G33" i="55"/>
  <c r="T9" i="55" s="1"/>
  <c r="D34" i="55"/>
  <c r="U6" i="55" s="1"/>
  <c r="E34" i="55"/>
  <c r="U7" i="55" s="1"/>
  <c r="F34" i="55"/>
  <c r="U8" i="55" s="1"/>
  <c r="G34" i="55"/>
  <c r="U9" i="55" s="1"/>
  <c r="C33" i="55"/>
  <c r="T5" i="55" s="1"/>
  <c r="C34" i="55"/>
  <c r="U5" i="55" s="1"/>
  <c r="C32" i="55"/>
  <c r="S5" i="55" s="1"/>
  <c r="J30" i="47" l="1"/>
  <c r="J38" i="47" s="1"/>
  <c r="J33" i="47" s="1"/>
  <c r="E48" i="56"/>
  <c r="E11" i="48" l="1"/>
  <c r="F11" i="48"/>
  <c r="G11" i="48"/>
  <c r="H11" i="48"/>
  <c r="E12" i="48"/>
  <c r="E20" i="48" s="1"/>
  <c r="F12" i="48"/>
  <c r="F20" i="48" s="1"/>
  <c r="G12" i="48"/>
  <c r="G20" i="48" s="1"/>
  <c r="H12" i="48"/>
  <c r="H20" i="48" s="1"/>
  <c r="E14" i="48"/>
  <c r="E23" i="48" s="1"/>
  <c r="E31" i="48" s="1"/>
  <c r="F14" i="48"/>
  <c r="F23" i="48" s="1"/>
  <c r="F31" i="48" s="1"/>
  <c r="G14" i="48"/>
  <c r="G23" i="48" s="1"/>
  <c r="H14" i="48"/>
  <c r="H23" i="48" s="1"/>
  <c r="H31" i="48" s="1"/>
  <c r="E15" i="48"/>
  <c r="F15" i="48"/>
  <c r="F24" i="48" s="1"/>
  <c r="G15" i="48"/>
  <c r="G24" i="48" s="1"/>
  <c r="G60" i="48" s="1"/>
  <c r="H15" i="48"/>
  <c r="H24" i="48" s="1"/>
  <c r="H60" i="48" s="1"/>
  <c r="E16" i="48"/>
  <c r="E25" i="48" s="1"/>
  <c r="F16" i="48"/>
  <c r="F25" i="48" s="1"/>
  <c r="G16" i="48"/>
  <c r="G25" i="48" s="1"/>
  <c r="H16" i="48"/>
  <c r="H25" i="48" s="1"/>
  <c r="E17" i="48"/>
  <c r="E26" i="48" s="1"/>
  <c r="F17" i="48"/>
  <c r="F26" i="48" s="1"/>
  <c r="F29" i="48" s="1"/>
  <c r="G17" i="48"/>
  <c r="G26" i="48" s="1"/>
  <c r="G29" i="48" s="1"/>
  <c r="H17" i="48"/>
  <c r="H26" i="48" s="1"/>
  <c r="E18" i="48"/>
  <c r="E27" i="48" s="1"/>
  <c r="F18" i="48"/>
  <c r="F27" i="48" s="1"/>
  <c r="G18" i="48"/>
  <c r="G27" i="48" s="1"/>
  <c r="H18" i="48"/>
  <c r="H27" i="48" s="1"/>
  <c r="H68" i="48" s="1"/>
  <c r="E19" i="48"/>
  <c r="F19" i="48"/>
  <c r="G19" i="48"/>
  <c r="H19" i="48"/>
  <c r="E24" i="48"/>
  <c r="E48" i="48"/>
  <c r="F48" i="48"/>
  <c r="G48" i="48"/>
  <c r="H48" i="48"/>
  <c r="G49" i="48"/>
  <c r="C87" i="47"/>
  <c r="F33" i="48" l="1"/>
  <c r="F60" i="48"/>
  <c r="E33" i="48"/>
  <c r="E60" i="48"/>
  <c r="G69" i="48"/>
  <c r="G33" i="48"/>
  <c r="G70" i="48"/>
  <c r="G30" i="48"/>
  <c r="G34" i="48" s="1"/>
  <c r="E69" i="48"/>
  <c r="G32" i="48"/>
  <c r="G31" i="48"/>
  <c r="H29" i="48"/>
  <c r="H30" i="48"/>
  <c r="H37" i="48" s="1"/>
  <c r="H70" i="48"/>
  <c r="H38" i="48"/>
  <c r="H35" i="48"/>
  <c r="H32" i="48"/>
  <c r="H28" i="48"/>
  <c r="H33" i="48"/>
  <c r="H69" i="48"/>
  <c r="H74" i="48" s="1"/>
  <c r="G28" i="48"/>
  <c r="G39" i="48"/>
  <c r="G68" i="48"/>
  <c r="E49" i="48"/>
  <c r="F49" i="48"/>
  <c r="H49" i="48"/>
  <c r="E28" i="48"/>
  <c r="E68" i="48"/>
  <c r="E32" i="48"/>
  <c r="E70" i="48"/>
  <c r="E29" i="48"/>
  <c r="E30" i="48"/>
  <c r="E37" i="48" s="1"/>
  <c r="E41" i="48"/>
  <c r="F28" i="48"/>
  <c r="F68" i="48"/>
  <c r="F70" i="48"/>
  <c r="F30" i="48"/>
  <c r="F38" i="48" s="1"/>
  <c r="F32" i="48"/>
  <c r="F69" i="48"/>
  <c r="H76" i="48"/>
  <c r="F80" i="4"/>
  <c r="H66" i="4"/>
  <c r="G63" i="4"/>
  <c r="F63" i="4"/>
  <c r="D68" i="2"/>
  <c r="C23" i="4"/>
  <c r="J20" i="47"/>
  <c r="D11" i="37"/>
  <c r="D12" i="37"/>
  <c r="D13" i="37"/>
  <c r="D14" i="37"/>
  <c r="D10" i="37"/>
  <c r="C11" i="37"/>
  <c r="C12" i="37"/>
  <c r="C13" i="37"/>
  <c r="C14" i="37"/>
  <c r="C10" i="37"/>
  <c r="Q79" i="4"/>
  <c r="E39" i="44"/>
  <c r="J19" i="47"/>
  <c r="J86" i="47" s="1"/>
  <c r="I7" i="38"/>
  <c r="G38" i="48" l="1"/>
  <c r="G40" i="48"/>
  <c r="G71" i="48"/>
  <c r="H40" i="48"/>
  <c r="G35" i="48"/>
  <c r="G41" i="48"/>
  <c r="H78" i="48"/>
  <c r="H80" i="48"/>
  <c r="E77" i="48"/>
  <c r="H73" i="48"/>
  <c r="H77" i="48"/>
  <c r="G42" i="48"/>
  <c r="H39" i="48"/>
  <c r="G43" i="48"/>
  <c r="H43" i="48"/>
  <c r="F75" i="48"/>
  <c r="G37" i="48"/>
  <c r="E75" i="48"/>
  <c r="E78" i="48"/>
  <c r="H72" i="48"/>
  <c r="F43" i="48"/>
  <c r="H79" i="48"/>
  <c r="E43" i="48"/>
  <c r="G36" i="48"/>
  <c r="E35" i="48"/>
  <c r="G73" i="48"/>
  <c r="G78" i="48"/>
  <c r="G72" i="48"/>
  <c r="G76" i="48"/>
  <c r="G75" i="48"/>
  <c r="G80" i="48"/>
  <c r="H41" i="48"/>
  <c r="G77" i="48"/>
  <c r="E72" i="48"/>
  <c r="E76" i="48"/>
  <c r="H75" i="48"/>
  <c r="G79" i="48"/>
  <c r="G74" i="48"/>
  <c r="H34" i="48"/>
  <c r="H71" i="48"/>
  <c r="H42" i="48"/>
  <c r="H36" i="48"/>
  <c r="E79" i="48"/>
  <c r="E74" i="48"/>
  <c r="E80" i="48"/>
  <c r="E73" i="48"/>
  <c r="E40" i="48"/>
  <c r="E36" i="48"/>
  <c r="E34" i="48"/>
  <c r="E71" i="48"/>
  <c r="E39" i="48"/>
  <c r="E38" i="48"/>
  <c r="E42" i="48"/>
  <c r="F80" i="48"/>
  <c r="F74" i="48"/>
  <c r="F78" i="48"/>
  <c r="F76" i="48"/>
  <c r="F72" i="48"/>
  <c r="F71" i="48"/>
  <c r="F34" i="48"/>
  <c r="F35" i="48"/>
  <c r="F39" i="48"/>
  <c r="F36" i="48"/>
  <c r="F40" i="48"/>
  <c r="F73" i="48"/>
  <c r="F37" i="48"/>
  <c r="F77" i="48"/>
  <c r="F79" i="48"/>
  <c r="F41" i="48"/>
  <c r="F42" i="48"/>
  <c r="C99" i="47"/>
  <c r="E43" i="56"/>
  <c r="E38" i="44"/>
  <c r="B3" i="30"/>
  <c r="B2" i="30"/>
  <c r="C7" i="38"/>
  <c r="C6" i="38"/>
  <c r="E12" i="38" l="1"/>
  <c r="D12" i="48" l="1"/>
  <c r="H6" i="55" l="1"/>
  <c r="I6" i="55"/>
  <c r="H7" i="55"/>
  <c r="I7" i="55"/>
  <c r="H8" i="55"/>
  <c r="I8" i="55"/>
  <c r="H9" i="55"/>
  <c r="I9" i="55"/>
  <c r="H10" i="55"/>
  <c r="I10" i="55"/>
  <c r="I5" i="55"/>
  <c r="H5" i="55"/>
  <c r="Z6" i="55"/>
  <c r="Z7" i="55"/>
  <c r="Z8" i="55"/>
  <c r="Z9" i="55"/>
  <c r="Z10" i="55"/>
  <c r="Z5" i="55"/>
  <c r="F5" i="55"/>
  <c r="F6" i="55" s="1"/>
  <c r="F7" i="55" s="1"/>
  <c r="F8" i="55" s="1"/>
  <c r="F9" i="55" s="1"/>
  <c r="F10" i="55" s="1"/>
  <c r="E5" i="55"/>
  <c r="E6" i="55" s="1"/>
  <c r="E7" i="55" s="1"/>
  <c r="E8" i="55" s="1"/>
  <c r="E9" i="55" s="1"/>
  <c r="E10" i="55" s="1"/>
  <c r="C5" i="55"/>
  <c r="C6" i="55" s="1"/>
  <c r="C7" i="55" s="1"/>
  <c r="C8" i="55" s="1"/>
  <c r="C9" i="55" s="1"/>
  <c r="B5" i="55"/>
  <c r="B6" i="55" s="1"/>
  <c r="B7" i="55" s="1"/>
  <c r="B8" i="55" s="1"/>
  <c r="B9" i="55" s="1"/>
  <c r="B10" i="55" s="1"/>
  <c r="S10" i="55" l="1"/>
  <c r="U10" i="55"/>
  <c r="T10" i="55"/>
  <c r="E30" i="47" l="1"/>
  <c r="B81" i="47"/>
  <c r="B89" i="47"/>
  <c r="J13" i="44"/>
  <c r="E8" i="53"/>
  <c r="F8" i="53" s="1"/>
  <c r="J31" i="47"/>
  <c r="E49" i="56" l="1"/>
  <c r="D7" i="53" l="1"/>
  <c r="D8" i="53"/>
  <c r="D6" i="53"/>
  <c r="G8" i="53"/>
  <c r="G7" i="53"/>
  <c r="G6" i="53"/>
  <c r="K13" i="44" l="1"/>
  <c r="K12" i="44"/>
  <c r="K11" i="44"/>
  <c r="J26" i="44" l="1"/>
  <c r="J28" i="44"/>
  <c r="J12" i="44"/>
  <c r="J30" i="44" s="1"/>
  <c r="J11" i="44"/>
  <c r="J29" i="44" s="1"/>
  <c r="J9" i="44"/>
  <c r="J27" i="44" s="1"/>
  <c r="J7" i="44"/>
  <c r="J25" i="44" s="1"/>
  <c r="H49" i="47" l="1"/>
  <c r="D5" i="55" s="1"/>
  <c r="D6" i="55" s="1"/>
  <c r="D7" i="55" s="1"/>
  <c r="D8" i="55" s="1"/>
  <c r="D9" i="55" s="1"/>
  <c r="D10" i="55" s="1"/>
  <c r="D16" i="48" l="1"/>
  <c r="J37" i="47" l="1"/>
  <c r="E13" i="48"/>
  <c r="E21" i="48" s="1"/>
  <c r="F13" i="48"/>
  <c r="F21" i="48" s="1"/>
  <c r="G13" i="48"/>
  <c r="G21" i="48" s="1"/>
  <c r="H13" i="48"/>
  <c r="H21" i="48" s="1"/>
  <c r="J39" i="47"/>
  <c r="D13" i="48"/>
  <c r="G63" i="48" l="1"/>
  <c r="G61" i="48"/>
  <c r="F63" i="48"/>
  <c r="F61" i="48"/>
  <c r="H63" i="48"/>
  <c r="H61" i="48"/>
  <c r="E63" i="48"/>
  <c r="E61" i="48"/>
  <c r="C93" i="47"/>
  <c r="G5" i="55" s="1"/>
  <c r="G6" i="55" s="1"/>
  <c r="G7" i="55" s="1"/>
  <c r="G8" i="55" s="1"/>
  <c r="G9" i="55" s="1"/>
  <c r="G10" i="55" s="1"/>
  <c r="C101" i="47"/>
  <c r="E37" i="47"/>
  <c r="I20" i="53"/>
  <c r="I24" i="53"/>
  <c r="H20" i="53"/>
  <c r="H24" i="53"/>
  <c r="G20" i="53"/>
  <c r="G24" i="53"/>
  <c r="F20" i="53"/>
  <c r="F24" i="53"/>
  <c r="I36" i="53"/>
  <c r="I13" i="53"/>
  <c r="H36" i="53"/>
  <c r="H13" i="53"/>
  <c r="G36" i="53"/>
  <c r="G13" i="53"/>
  <c r="F36" i="53"/>
  <c r="F13" i="53"/>
  <c r="F23" i="53"/>
  <c r="I23" i="53"/>
  <c r="H23" i="53"/>
  <c r="G23" i="53"/>
  <c r="D21" i="48"/>
  <c r="E20" i="44"/>
  <c r="E21" i="44"/>
  <c r="E22" i="44"/>
  <c r="E45" i="53" l="1"/>
  <c r="J34" i="47"/>
  <c r="C105" i="47" s="1"/>
  <c r="E24" i="53"/>
  <c r="E23" i="53"/>
  <c r="E13" i="53"/>
  <c r="E20" i="53"/>
  <c r="E36" i="53"/>
  <c r="E16" i="44"/>
  <c r="J16" i="44" s="1"/>
  <c r="E17" i="44"/>
  <c r="J17" i="44" s="1"/>
  <c r="E15" i="44"/>
  <c r="E40" i="44"/>
  <c r="E41" i="44"/>
  <c r="D25" i="48" s="1"/>
  <c r="E36" i="44"/>
  <c r="E32" i="44"/>
  <c r="E33" i="44"/>
  <c r="E34" i="44"/>
  <c r="E35" i="44"/>
  <c r="E37" i="44"/>
  <c r="E31" i="44"/>
  <c r="B10" i="36"/>
  <c r="D3" i="48"/>
  <c r="C4" i="48" s="1"/>
  <c r="D14" i="48" l="1"/>
  <c r="D11" i="48" l="1"/>
  <c r="D20" i="48" l="1"/>
  <c r="J48" i="48"/>
  <c r="D48" i="48" l="1"/>
  <c r="D49" i="48" l="1"/>
  <c r="I48" i="48" l="1"/>
  <c r="J49" i="48" s="1"/>
  <c r="D23" i="48" l="1"/>
  <c r="E19" i="44"/>
  <c r="J19" i="44" s="1"/>
  <c r="E23" i="44"/>
  <c r="E18" i="44"/>
  <c r="J18" i="44" s="1"/>
  <c r="E25" i="44"/>
  <c r="E26" i="44"/>
  <c r="E27" i="44"/>
  <c r="E28" i="44"/>
  <c r="E29" i="44"/>
  <c r="E30" i="44"/>
  <c r="E24" i="44"/>
  <c r="E8" i="44"/>
  <c r="E9" i="44"/>
  <c r="E10" i="44"/>
  <c r="E11" i="44"/>
  <c r="E12" i="44"/>
  <c r="E13" i="44"/>
  <c r="E14" i="44"/>
  <c r="E7" i="44"/>
  <c r="D31" i="48" l="1"/>
  <c r="E13" i="37" l="1"/>
  <c r="L14" i="37"/>
  <c r="L12" i="37"/>
  <c r="D19" i="48"/>
  <c r="D15" i="48"/>
  <c r="D24" i="48" s="1"/>
  <c r="D18" i="48"/>
  <c r="D27" i="48" s="1"/>
  <c r="D68" i="48" s="1"/>
  <c r="D17" i="48"/>
  <c r="D26" i="48" s="1"/>
  <c r="L31" i="48" s="1"/>
  <c r="D60" i="48" l="1"/>
  <c r="D61" i="48" s="1"/>
  <c r="E14" i="37"/>
  <c r="K14" i="37"/>
  <c r="K13" i="37"/>
  <c r="K12" i="37"/>
  <c r="L13" i="37"/>
  <c r="J13" i="37"/>
  <c r="D33" i="48"/>
  <c r="D40" i="48" s="1"/>
  <c r="D29" i="48"/>
  <c r="D32" i="48"/>
  <c r="D70" i="48"/>
  <c r="D69" i="48"/>
  <c r="D30" i="48"/>
  <c r="D71" i="48" s="1"/>
  <c r="D28" i="48"/>
  <c r="J10" i="37" l="1"/>
  <c r="D41" i="48"/>
  <c r="K10" i="37" s="1"/>
  <c r="I12" i="37"/>
  <c r="H12" i="37"/>
  <c r="M12" i="37"/>
  <c r="F13" i="37"/>
  <c r="G13" i="37"/>
  <c r="J12" i="37"/>
  <c r="F14" i="37"/>
  <c r="E12" i="37"/>
  <c r="H13" i="37"/>
  <c r="M13" i="37"/>
  <c r="J14" i="37"/>
  <c r="M14" i="37"/>
  <c r="I14" i="37"/>
  <c r="F12" i="37"/>
  <c r="I13" i="37"/>
  <c r="G14" i="37"/>
  <c r="G12" i="37"/>
  <c r="H14" i="37"/>
  <c r="E11" i="37"/>
  <c r="J11" i="37"/>
  <c r="D42" i="48"/>
  <c r="L10" i="37" s="1"/>
  <c r="L11" i="37"/>
  <c r="D35" i="48"/>
  <c r="E10" i="37" s="1"/>
  <c r="D39" i="48"/>
  <c r="I10" i="37" s="1"/>
  <c r="D38" i="48"/>
  <c r="H10" i="37" s="1"/>
  <c r="D7" i="48"/>
  <c r="D6" i="48"/>
  <c r="D5" i="48"/>
  <c r="C5" i="48"/>
  <c r="C88" i="47"/>
  <c r="D21" i="47"/>
  <c r="K11" i="37" l="1"/>
  <c r="K41" i="37" s="1"/>
  <c r="N12" i="37"/>
  <c r="N13" i="37"/>
  <c r="L41" i="37"/>
  <c r="N14" i="37"/>
  <c r="J41" i="37"/>
  <c r="E41" i="37"/>
  <c r="F34" i="36"/>
  <c r="F27" i="36"/>
  <c r="F28" i="36"/>
  <c r="F23" i="36"/>
  <c r="F29" i="36"/>
  <c r="F26" i="36"/>
  <c r="F33" i="36"/>
  <c r="F20" i="36"/>
  <c r="D20" i="36" s="1"/>
  <c r="F25" i="36"/>
  <c r="F21" i="36"/>
  <c r="F30" i="36"/>
  <c r="F22" i="36"/>
  <c r="F31" i="36"/>
  <c r="E32" i="36"/>
  <c r="F24" i="36"/>
  <c r="F35" i="36"/>
  <c r="E37" i="36"/>
  <c r="F36" i="36"/>
  <c r="J50" i="48"/>
  <c r="J60" i="47"/>
  <c r="C6" i="48"/>
  <c r="J49" i="47"/>
  <c r="C104" i="47" s="1"/>
  <c r="C89" i="47"/>
  <c r="J55" i="48" l="1"/>
  <c r="F10" i="36" s="1"/>
  <c r="E10" i="36" s="1"/>
  <c r="E50" i="48"/>
  <c r="G50" i="48"/>
  <c r="F50" i="48"/>
  <c r="H50" i="48"/>
  <c r="D36" i="48"/>
  <c r="F10" i="37" s="1"/>
  <c r="D50" i="48"/>
  <c r="J51" i="48"/>
  <c r="D34" i="48"/>
  <c r="D37" i="48"/>
  <c r="G10" i="37" s="1"/>
  <c r="I11" i="37"/>
  <c r="I41" i="37" s="1"/>
  <c r="H11" i="37"/>
  <c r="H41" i="37" s="1"/>
  <c r="D43" i="48"/>
  <c r="M10" i="37" s="1"/>
  <c r="C25" i="47" l="1"/>
  <c r="F51" i="48"/>
  <c r="G51" i="48"/>
  <c r="E51" i="48"/>
  <c r="H51" i="48"/>
  <c r="E53" i="48"/>
  <c r="E54" i="48" s="1"/>
  <c r="E59" i="48" s="1"/>
  <c r="E55" i="48"/>
  <c r="H55" i="48"/>
  <c r="H53" i="48"/>
  <c r="F55" i="48"/>
  <c r="F53" i="48"/>
  <c r="F54" i="48" s="1"/>
  <c r="F59" i="48" s="1"/>
  <c r="G53" i="48"/>
  <c r="G54" i="48" s="1"/>
  <c r="G59" i="48" s="1"/>
  <c r="G55" i="48"/>
  <c r="M11" i="37"/>
  <c r="M41" i="37" s="1"/>
  <c r="F11" i="37"/>
  <c r="F41" i="37" s="1"/>
  <c r="G11" i="37"/>
  <c r="G41" i="37" s="1"/>
  <c r="N10" i="37"/>
  <c r="J66" i="47"/>
  <c r="J62" i="47"/>
  <c r="J63" i="47"/>
  <c r="J68" i="47"/>
  <c r="J64" i="47"/>
  <c r="J61" i="47"/>
  <c r="J65" i="47"/>
  <c r="J67" i="47"/>
  <c r="D55" i="48"/>
  <c r="D53" i="48"/>
  <c r="D22" i="48" s="1"/>
  <c r="D51" i="48"/>
  <c r="D52" i="48" s="1"/>
  <c r="J52" i="48"/>
  <c r="J57" i="48" s="1"/>
  <c r="C24" i="47" s="1"/>
  <c r="J21" i="47" s="1"/>
  <c r="C103" i="47" s="1"/>
  <c r="J90" i="47" s="1"/>
  <c r="J56" i="48"/>
  <c r="C26" i="47" s="1"/>
  <c r="I50" i="48"/>
  <c r="I55" i="48" s="1"/>
  <c r="E107" i="48" l="1"/>
  <c r="E109" i="48"/>
  <c r="E108" i="48"/>
  <c r="G109" i="48"/>
  <c r="G108" i="48"/>
  <c r="G107" i="48"/>
  <c r="F108" i="48"/>
  <c r="F107" i="48"/>
  <c r="F109" i="48"/>
  <c r="G105" i="48"/>
  <c r="G110" i="48"/>
  <c r="G106" i="48"/>
  <c r="G102" i="48"/>
  <c r="G104" i="48"/>
  <c r="G103" i="48"/>
  <c r="F103" i="48"/>
  <c r="F110" i="48"/>
  <c r="F106" i="48"/>
  <c r="F104" i="48"/>
  <c r="F102" i="48"/>
  <c r="F105" i="48"/>
  <c r="E103" i="48"/>
  <c r="E105" i="48"/>
  <c r="E102" i="48"/>
  <c r="E106" i="48"/>
  <c r="E110" i="48"/>
  <c r="E104" i="48"/>
  <c r="G22" i="48"/>
  <c r="G82" i="48" s="1"/>
  <c r="G58" i="48"/>
  <c r="E22" i="48"/>
  <c r="E58" i="48"/>
  <c r="H52" i="48"/>
  <c r="H57" i="48" s="1"/>
  <c r="H56" i="48"/>
  <c r="F22" i="48"/>
  <c r="F90" i="48" s="1"/>
  <c r="F58" i="48"/>
  <c r="E56" i="48"/>
  <c r="E52" i="48"/>
  <c r="E57" i="48" s="1"/>
  <c r="G56" i="48"/>
  <c r="G52" i="48"/>
  <c r="G57" i="48" s="1"/>
  <c r="H54" i="48"/>
  <c r="H59" i="48" s="1"/>
  <c r="H58" i="48"/>
  <c r="H22" i="48"/>
  <c r="F52" i="48"/>
  <c r="F57" i="48" s="1"/>
  <c r="F56" i="48"/>
  <c r="N11" i="37"/>
  <c r="J83" i="47"/>
  <c r="C100" i="47" s="1"/>
  <c r="J18" i="53"/>
  <c r="E46" i="53" s="1"/>
  <c r="H10" i="36"/>
  <c r="D10" i="36"/>
  <c r="D58" i="48"/>
  <c r="D54" i="48"/>
  <c r="D59" i="48" s="1"/>
  <c r="D57" i="48"/>
  <c r="D56" i="48"/>
  <c r="I51" i="48"/>
  <c r="I56" i="48" s="1"/>
  <c r="I53" i="48"/>
  <c r="I58" i="48" s="1"/>
  <c r="N20" i="37"/>
  <c r="D93" i="2"/>
  <c r="D92" i="2"/>
  <c r="H108" i="48" l="1"/>
  <c r="H109" i="48"/>
  <c r="H107" i="48"/>
  <c r="G112" i="48"/>
  <c r="F91" i="48"/>
  <c r="F121" i="48" s="1"/>
  <c r="F93" i="48"/>
  <c r="F123" i="48" s="1"/>
  <c r="E26" i="55" s="1"/>
  <c r="M7" i="55" s="1"/>
  <c r="G91" i="48"/>
  <c r="G121" i="48" s="1"/>
  <c r="G81" i="48"/>
  <c r="G111" i="48" s="1"/>
  <c r="G133" i="48" s="1"/>
  <c r="G90" i="48"/>
  <c r="G120" i="48" s="1"/>
  <c r="F120" i="48"/>
  <c r="F82" i="48"/>
  <c r="F112" i="48" s="1"/>
  <c r="G98" i="48"/>
  <c r="G128" i="48" s="1"/>
  <c r="F31" i="55" s="1"/>
  <c r="R8" i="55" s="1"/>
  <c r="G96" i="48"/>
  <c r="G126" i="48" s="1"/>
  <c r="F95" i="48"/>
  <c r="F62" i="48"/>
  <c r="F98" i="48"/>
  <c r="F128" i="48" s="1"/>
  <c r="E31" i="55" s="1"/>
  <c r="R7" i="55" s="1"/>
  <c r="G93" i="48"/>
  <c r="G123" i="48" s="1"/>
  <c r="F26" i="55" s="1"/>
  <c r="M8" i="55" s="1"/>
  <c r="G87" i="48"/>
  <c r="G117" i="48" s="1"/>
  <c r="G62" i="48"/>
  <c r="F83" i="48"/>
  <c r="F113" i="48" s="1"/>
  <c r="G95" i="48"/>
  <c r="G86" i="48"/>
  <c r="G116" i="48" s="1"/>
  <c r="G84" i="48"/>
  <c r="G114" i="48" s="1"/>
  <c r="G97" i="48"/>
  <c r="G127" i="48" s="1"/>
  <c r="G92" i="48"/>
  <c r="G122" i="48" s="1"/>
  <c r="F25" i="55" s="1"/>
  <c r="L8" i="55" s="1"/>
  <c r="F85" i="48"/>
  <c r="F115" i="48" s="1"/>
  <c r="F97" i="48"/>
  <c r="G89" i="48"/>
  <c r="G119" i="48" s="1"/>
  <c r="G94" i="48"/>
  <c r="G124" i="48" s="1"/>
  <c r="F27" i="55" s="1"/>
  <c r="N8" i="55" s="1"/>
  <c r="F87" i="48"/>
  <c r="F117" i="48" s="1"/>
  <c r="F92" i="48"/>
  <c r="F122" i="48" s="1"/>
  <c r="E25" i="55" s="1"/>
  <c r="L7" i="55" s="1"/>
  <c r="G85" i="48"/>
  <c r="G115" i="48" s="1"/>
  <c r="G88" i="48"/>
  <c r="G118" i="48" s="1"/>
  <c r="F89" i="48"/>
  <c r="F119" i="48" s="1"/>
  <c r="F84" i="48"/>
  <c r="F114" i="48" s="1"/>
  <c r="G83" i="48"/>
  <c r="G113" i="48" s="1"/>
  <c r="G141" i="48" s="1"/>
  <c r="F81" i="48"/>
  <c r="F111" i="48" s="1"/>
  <c r="F96" i="48"/>
  <c r="F126" i="48" s="1"/>
  <c r="F86" i="48"/>
  <c r="F116" i="48" s="1"/>
  <c r="F88" i="48"/>
  <c r="F118" i="48" s="1"/>
  <c r="F94" i="48"/>
  <c r="F124" i="48" s="1"/>
  <c r="F129" i="48"/>
  <c r="H106" i="48"/>
  <c r="H102" i="48"/>
  <c r="H104" i="48"/>
  <c r="H105" i="48"/>
  <c r="H110" i="48"/>
  <c r="H103" i="48"/>
  <c r="F135" i="48"/>
  <c r="F130" i="48"/>
  <c r="E135" i="48"/>
  <c r="E130" i="48"/>
  <c r="G129" i="48"/>
  <c r="E82" i="48"/>
  <c r="E112" i="48" s="1"/>
  <c r="E93" i="48"/>
  <c r="E123" i="48" s="1"/>
  <c r="D26" i="55" s="1"/>
  <c r="M6" i="55" s="1"/>
  <c r="E84" i="48"/>
  <c r="E114" i="48" s="1"/>
  <c r="E87" i="48"/>
  <c r="E117" i="48" s="1"/>
  <c r="E83" i="48"/>
  <c r="E113" i="48" s="1"/>
  <c r="E89" i="48"/>
  <c r="E119" i="48" s="1"/>
  <c r="E86" i="48"/>
  <c r="E116" i="48" s="1"/>
  <c r="E92" i="48"/>
  <c r="E122" i="48" s="1"/>
  <c r="D25" i="55" s="1"/>
  <c r="L6" i="55" s="1"/>
  <c r="E90" i="48"/>
  <c r="E120" i="48" s="1"/>
  <c r="E81" i="48"/>
  <c r="E111" i="48" s="1"/>
  <c r="E88" i="48"/>
  <c r="E118" i="48" s="1"/>
  <c r="E98" i="48"/>
  <c r="E128" i="48" s="1"/>
  <c r="D31" i="55" s="1"/>
  <c r="R6" i="55" s="1"/>
  <c r="E94" i="48"/>
  <c r="E124" i="48" s="1"/>
  <c r="D27" i="55" s="1"/>
  <c r="N6" i="55" s="1"/>
  <c r="E97" i="48"/>
  <c r="E95" i="48"/>
  <c r="E85" i="48"/>
  <c r="E115" i="48" s="1"/>
  <c r="E96" i="48"/>
  <c r="E62" i="48"/>
  <c r="E91" i="48"/>
  <c r="E121" i="48" s="1"/>
  <c r="G135" i="48"/>
  <c r="G130" i="48"/>
  <c r="E137" i="48"/>
  <c r="F137" i="48"/>
  <c r="E129" i="48"/>
  <c r="G137" i="48"/>
  <c r="H84" i="48"/>
  <c r="H114" i="48" s="1"/>
  <c r="H87" i="48"/>
  <c r="H117" i="48" s="1"/>
  <c r="H93" i="48"/>
  <c r="H123" i="48" s="1"/>
  <c r="G26" i="55" s="1"/>
  <c r="M9" i="55" s="1"/>
  <c r="H62" i="48"/>
  <c r="H82" i="48"/>
  <c r="H112" i="48" s="1"/>
  <c r="H85" i="48"/>
  <c r="H115" i="48" s="1"/>
  <c r="H97" i="48"/>
  <c r="H127" i="48" s="1"/>
  <c r="H91" i="48"/>
  <c r="H121" i="48" s="1"/>
  <c r="H81" i="48"/>
  <c r="H111" i="48" s="1"/>
  <c r="H133" i="48" s="1"/>
  <c r="H86" i="48"/>
  <c r="H116" i="48" s="1"/>
  <c r="H83" i="48"/>
  <c r="H113" i="48" s="1"/>
  <c r="H141" i="48" s="1"/>
  <c r="H88" i="48"/>
  <c r="H118" i="48" s="1"/>
  <c r="H89" i="48"/>
  <c r="H119" i="48" s="1"/>
  <c r="H95" i="48"/>
  <c r="H125" i="48" s="1"/>
  <c r="H92" i="48"/>
  <c r="H122" i="48" s="1"/>
  <c r="G25" i="55" s="1"/>
  <c r="L9" i="55" s="1"/>
  <c r="H90" i="48"/>
  <c r="H120" i="48" s="1"/>
  <c r="H98" i="48"/>
  <c r="H128" i="48" s="1"/>
  <c r="G31" i="55" s="1"/>
  <c r="R9" i="55" s="1"/>
  <c r="H96" i="48"/>
  <c r="H126" i="48" s="1"/>
  <c r="H94" i="48"/>
  <c r="H124" i="48" s="1"/>
  <c r="G27" i="55" s="1"/>
  <c r="N9" i="55" s="1"/>
  <c r="H53" i="53"/>
  <c r="G83" i="47" s="1"/>
  <c r="E80" i="44"/>
  <c r="F80" i="44" s="1"/>
  <c r="E82" i="44"/>
  <c r="F82" i="44" s="1"/>
  <c r="E81" i="44"/>
  <c r="F81" i="44" s="1"/>
  <c r="D82" i="44"/>
  <c r="D80" i="44"/>
  <c r="D81" i="44"/>
  <c r="I52" i="48"/>
  <c r="I57" i="48" s="1"/>
  <c r="I54" i="48"/>
  <c r="I59" i="48" s="1"/>
  <c r="G24" i="55" l="1"/>
  <c r="K9" i="55" s="1"/>
  <c r="H136" i="48"/>
  <c r="I15" i="53" s="1"/>
  <c r="F24" i="55"/>
  <c r="K8" i="55" s="1"/>
  <c r="E29" i="55"/>
  <c r="P7" i="55" s="1"/>
  <c r="F29" i="55"/>
  <c r="P8" i="55" s="1"/>
  <c r="E24" i="55"/>
  <c r="K7" i="55" s="1"/>
  <c r="E126" i="48"/>
  <c r="D29" i="55" s="1"/>
  <c r="P6" i="55" s="1"/>
  <c r="E127" i="48"/>
  <c r="D30" i="55" s="1"/>
  <c r="Q6" i="55" s="1"/>
  <c r="E125" i="48"/>
  <c r="D28" i="55" s="1"/>
  <c r="O6" i="55" s="1"/>
  <c r="F127" i="48"/>
  <c r="E30" i="55" s="1"/>
  <c r="Q7" i="55" s="1"/>
  <c r="D24" i="55"/>
  <c r="K6" i="55" s="1"/>
  <c r="F30" i="55"/>
  <c r="Q8" i="55" s="1"/>
  <c r="F125" i="48"/>
  <c r="G125" i="48"/>
  <c r="F28" i="55" s="1"/>
  <c r="O8" i="55" s="1"/>
  <c r="E136" i="48"/>
  <c r="D23" i="55" s="1"/>
  <c r="J6" i="55" s="1"/>
  <c r="F136" i="48"/>
  <c r="G15" i="53" s="1"/>
  <c r="G136" i="48"/>
  <c r="H15" i="53" s="1"/>
  <c r="G28" i="55"/>
  <c r="O9" i="55" s="1"/>
  <c r="G30" i="55"/>
  <c r="Q9" i="55" s="1"/>
  <c r="F131" i="48"/>
  <c r="F134" i="48" s="1"/>
  <c r="F142" i="48" s="1"/>
  <c r="F146" i="48" s="1"/>
  <c r="E27" i="55"/>
  <c r="N7" i="55" s="1"/>
  <c r="G29" i="55"/>
  <c r="P9" i="55" s="1"/>
  <c r="G131" i="48"/>
  <c r="G134" i="48" s="1"/>
  <c r="G142" i="48" s="1"/>
  <c r="G146" i="48" s="1"/>
  <c r="F141" i="48"/>
  <c r="F132" i="48"/>
  <c r="F133" i="48"/>
  <c r="E132" i="48"/>
  <c r="G132" i="48"/>
  <c r="G140" i="48" s="1"/>
  <c r="E141" i="48"/>
  <c r="H129" i="48"/>
  <c r="H135" i="48"/>
  <c r="H130" i="48"/>
  <c r="E133" i="48"/>
  <c r="E131" i="48"/>
  <c r="E134" i="48" s="1"/>
  <c r="E142" i="48" s="1"/>
  <c r="H137" i="48"/>
  <c r="H131" i="48"/>
  <c r="H134" i="48" s="1"/>
  <c r="H142" i="48" s="1"/>
  <c r="H146" i="48" s="1"/>
  <c r="H138" i="48"/>
  <c r="D63" i="48"/>
  <c r="D62" i="48"/>
  <c r="G37" i="36"/>
  <c r="F139" i="48" l="1"/>
  <c r="F138" i="48"/>
  <c r="G138" i="48"/>
  <c r="E138" i="48"/>
  <c r="E28" i="55"/>
  <c r="O7" i="55" s="1"/>
  <c r="E23" i="55"/>
  <c r="H139" i="48"/>
  <c r="I19" i="53" s="1"/>
  <c r="G23" i="55"/>
  <c r="J9" i="55" s="1"/>
  <c r="F23" i="55"/>
  <c r="G19" i="53"/>
  <c r="G21" i="53" s="1"/>
  <c r="E74" i="47"/>
  <c r="F140" i="48"/>
  <c r="F144" i="48" s="1"/>
  <c r="D35" i="55"/>
  <c r="J7" i="55"/>
  <c r="G139" i="48"/>
  <c r="H132" i="48"/>
  <c r="H140" i="48" s="1"/>
  <c r="H144" i="48" s="1"/>
  <c r="E140" i="48"/>
  <c r="E144" i="48" s="1"/>
  <c r="G144" i="48"/>
  <c r="G143" i="48"/>
  <c r="E146" i="48"/>
  <c r="F15" i="53"/>
  <c r="E139" i="48"/>
  <c r="J62" i="48"/>
  <c r="J63" i="48"/>
  <c r="G74" i="47" l="1"/>
  <c r="G35" i="55"/>
  <c r="E35" i="55"/>
  <c r="F35" i="55"/>
  <c r="J8" i="55"/>
  <c r="H19" i="53"/>
  <c r="F74" i="47"/>
  <c r="F19" i="53"/>
  <c r="D74" i="47"/>
  <c r="F143" i="48"/>
  <c r="H143" i="48"/>
  <c r="E143" i="48"/>
  <c r="G20" i="36"/>
  <c r="C44" i="36" l="1"/>
  <c r="D24" i="47" s="1"/>
  <c r="H22" i="36"/>
  <c r="N24" i="37"/>
  <c r="N25" i="37"/>
  <c r="N26" i="37"/>
  <c r="N27" i="37"/>
  <c r="N28" i="37"/>
  <c r="N29" i="37"/>
  <c r="N30" i="37"/>
  <c r="N31" i="37"/>
  <c r="N32" i="37"/>
  <c r="N33" i="37"/>
  <c r="N34" i="37"/>
  <c r="N35" i="37"/>
  <c r="C46" i="36" l="1"/>
  <c r="F44" i="36"/>
  <c r="G44" i="36"/>
  <c r="D26" i="47" s="1"/>
  <c r="D44" i="36"/>
  <c r="D45" i="36" s="1"/>
  <c r="I37" i="36"/>
  <c r="I20" i="36"/>
  <c r="D11" i="2"/>
  <c r="F31" i="53" l="1"/>
  <c r="E31" i="53"/>
  <c r="G31" i="53"/>
  <c r="I31" i="53"/>
  <c r="H31" i="53"/>
  <c r="C37" i="4" l="1"/>
  <c r="I24" i="36" l="1"/>
  <c r="G32" i="36"/>
  <c r="H35" i="36"/>
  <c r="C45" i="36" l="1"/>
  <c r="I35" i="36"/>
  <c r="I36" i="36"/>
  <c r="I42" i="36" l="1"/>
  <c r="I21" i="36"/>
  <c r="I23" i="36"/>
  <c r="I22" i="36"/>
  <c r="I27" i="36"/>
  <c r="I25" i="36"/>
  <c r="I26" i="36"/>
  <c r="I30" i="36"/>
  <c r="I29" i="36"/>
  <c r="I28" i="36"/>
  <c r="I31" i="36"/>
  <c r="I33" i="36"/>
  <c r="I34" i="36"/>
  <c r="I32" i="36"/>
  <c r="H24" i="36" l="1"/>
  <c r="H28" i="36"/>
  <c r="H26" i="36"/>
  <c r="H27" i="36"/>
  <c r="H33" i="36"/>
  <c r="H25" i="36"/>
  <c r="H30" i="36"/>
  <c r="H29" i="36"/>
  <c r="H34" i="36"/>
  <c r="H36" i="36"/>
  <c r="H23" i="36"/>
  <c r="H31" i="36"/>
  <c r="G45" i="36" l="1"/>
  <c r="G46" i="36"/>
  <c r="D8" i="2" l="1"/>
  <c r="D12" i="2" s="1"/>
  <c r="C29" i="4"/>
  <c r="C28" i="4"/>
  <c r="C15" i="6"/>
  <c r="C14" i="6"/>
  <c r="E44" i="36" l="1"/>
  <c r="D25" i="47" s="1"/>
  <c r="I28" i="53" s="1"/>
  <c r="I29" i="53" s="1"/>
  <c r="I30" i="53" s="1"/>
  <c r="F46" i="36"/>
  <c r="F45" i="36"/>
  <c r="H21" i="36"/>
  <c r="G21" i="36" s="1"/>
  <c r="D46" i="36"/>
  <c r="E28" i="53" l="1"/>
  <c r="E29" i="53" s="1"/>
  <c r="E30" i="53" s="1"/>
  <c r="F28" i="53"/>
  <c r="F29" i="53" s="1"/>
  <c r="F30" i="53" s="1"/>
  <c r="G28" i="53"/>
  <c r="G29" i="53" s="1"/>
  <c r="G30" i="53" s="1"/>
  <c r="H28" i="53"/>
  <c r="H29" i="53" s="1"/>
  <c r="H30" i="53" s="1"/>
  <c r="E46" i="36"/>
  <c r="E45" i="36"/>
  <c r="C20" i="25" l="1"/>
  <c r="C18" i="25"/>
  <c r="C16" i="25"/>
  <c r="C14" i="25"/>
  <c r="C15" i="25"/>
  <c r="C13" i="25"/>
  <c r="C12" i="25"/>
  <c r="C10" i="25"/>
  <c r="C11" i="25"/>
  <c r="C35" i="27"/>
  <c r="C28" i="27"/>
  <c r="C29" i="27"/>
  <c r="C30" i="27"/>
  <c r="C31" i="27"/>
  <c r="C32" i="27"/>
  <c r="C33" i="27"/>
  <c r="C34" i="27"/>
  <c r="C36" i="27"/>
  <c r="C37" i="27"/>
  <c r="C27" i="27"/>
  <c r="C24" i="27"/>
  <c r="C15" i="27"/>
  <c r="C16" i="27"/>
  <c r="C17" i="27"/>
  <c r="C18" i="27"/>
  <c r="C19" i="27"/>
  <c r="C20" i="27"/>
  <c r="C21" i="27"/>
  <c r="C22" i="27"/>
  <c r="C23" i="27"/>
  <c r="C14" i="27"/>
  <c r="C12" i="27"/>
  <c r="C13" i="27"/>
  <c r="C3" i="29" l="1"/>
  <c r="C2" i="29"/>
  <c r="E49" i="36" l="1"/>
  <c r="K59" i="37" l="1"/>
  <c r="E50" i="36"/>
  <c r="E51" i="36" l="1"/>
  <c r="D14" i="36"/>
  <c r="F26" i="47" s="1"/>
  <c r="C26" i="27"/>
  <c r="C25" i="27"/>
  <c r="B41" i="27"/>
  <c r="B24" i="25"/>
  <c r="E56" i="44" s="1"/>
  <c r="L35" i="25"/>
  <c r="L36" i="25"/>
  <c r="L37" i="25"/>
  <c r="L38" i="25"/>
  <c r="L39" i="25"/>
  <c r="L40" i="25"/>
  <c r="L41" i="25"/>
  <c r="L42" i="25"/>
  <c r="L43" i="25"/>
  <c r="L44" i="25"/>
  <c r="L45" i="25"/>
  <c r="L46" i="25"/>
  <c r="L47" i="25"/>
  <c r="L48" i="25"/>
  <c r="L49" i="25"/>
  <c r="L50" i="25"/>
  <c r="L51" i="25"/>
  <c r="L52" i="25"/>
  <c r="L53" i="25"/>
  <c r="L54" i="25"/>
  <c r="L55" i="25"/>
  <c r="L56" i="25"/>
  <c r="L57" i="25"/>
  <c r="L58" i="25"/>
  <c r="L59" i="25"/>
  <c r="L60" i="25"/>
  <c r="L61" i="25"/>
  <c r="L62" i="25"/>
  <c r="L63" i="25"/>
  <c r="L64" i="25"/>
  <c r="L65" i="25"/>
  <c r="L66" i="25"/>
  <c r="L67" i="25"/>
  <c r="L68" i="25"/>
  <c r="L69" i="25"/>
  <c r="L70" i="25"/>
  <c r="L71" i="25"/>
  <c r="L72" i="25"/>
  <c r="L73" i="25"/>
  <c r="L74" i="25"/>
  <c r="L75" i="25"/>
  <c r="L76" i="25"/>
  <c r="L77" i="25"/>
  <c r="L78" i="25"/>
  <c r="L79" i="25"/>
  <c r="L80" i="25"/>
  <c r="L81" i="25"/>
  <c r="L82" i="25"/>
  <c r="L83" i="25"/>
  <c r="L84" i="25"/>
  <c r="L85" i="25"/>
  <c r="L86" i="25"/>
  <c r="L87" i="25"/>
  <c r="L88" i="25"/>
  <c r="L89" i="25"/>
  <c r="L90" i="25"/>
  <c r="L91" i="25"/>
  <c r="L92" i="25"/>
  <c r="L93" i="25"/>
  <c r="L94" i="25"/>
  <c r="L95" i="25"/>
  <c r="L96" i="25"/>
  <c r="L97" i="25"/>
  <c r="L98" i="25"/>
  <c r="L99" i="25"/>
  <c r="L100" i="25"/>
  <c r="L101" i="25"/>
  <c r="L102" i="25"/>
  <c r="L103" i="25"/>
  <c r="L104" i="25"/>
  <c r="L105" i="25"/>
  <c r="L106" i="25"/>
  <c r="L107" i="25"/>
  <c r="L108" i="25"/>
  <c r="L109" i="25"/>
  <c r="L110" i="25"/>
  <c r="L111" i="25"/>
  <c r="L112" i="25"/>
  <c r="L113" i="25"/>
  <c r="L114" i="25"/>
  <c r="L115" i="25"/>
  <c r="L116" i="25"/>
  <c r="L117" i="25"/>
  <c r="L118" i="25"/>
  <c r="L119" i="25"/>
  <c r="L120" i="25"/>
  <c r="L121" i="25"/>
  <c r="L122" i="25"/>
  <c r="L123" i="25"/>
  <c r="L124" i="25"/>
  <c r="L125" i="25"/>
  <c r="L126" i="25"/>
  <c r="L127" i="25"/>
  <c r="L128" i="25"/>
  <c r="L129" i="25"/>
  <c r="L130" i="25"/>
  <c r="L131" i="25"/>
  <c r="L132" i="25"/>
  <c r="L133" i="25"/>
  <c r="L134" i="25"/>
  <c r="L135" i="25"/>
  <c r="L136" i="25"/>
  <c r="L137" i="25"/>
  <c r="L138" i="25"/>
  <c r="L139" i="25"/>
  <c r="L140" i="25"/>
  <c r="L141" i="25"/>
  <c r="L142" i="25"/>
  <c r="L143" i="25"/>
  <c r="L144" i="25"/>
  <c r="L145" i="25"/>
  <c r="L146" i="25"/>
  <c r="L147" i="25"/>
  <c r="L148" i="25"/>
  <c r="L149" i="25"/>
  <c r="L150" i="25"/>
  <c r="L151" i="25"/>
  <c r="L152" i="25"/>
  <c r="L153" i="25"/>
  <c r="L154" i="25"/>
  <c r="L155" i="25"/>
  <c r="L156" i="25"/>
  <c r="L34" i="25"/>
  <c r="B43" i="27"/>
  <c r="B42" i="27"/>
  <c r="H55" i="44" s="1"/>
  <c r="J35" i="26"/>
  <c r="C31" i="8"/>
  <c r="C17" i="8"/>
  <c r="C18" i="8"/>
  <c r="C29" i="8"/>
  <c r="C30" i="8"/>
  <c r="E55" i="44" l="1"/>
  <c r="D55" i="44"/>
  <c r="D50" i="36"/>
  <c r="D49" i="36"/>
  <c r="F48" i="26"/>
  <c r="E48" i="26"/>
  <c r="D48" i="26"/>
  <c r="D63" i="8"/>
  <c r="C17" i="26"/>
  <c r="C14" i="26"/>
  <c r="C41" i="4"/>
  <c r="D16" i="2"/>
  <c r="C36" i="4" s="1"/>
  <c r="C24" i="3"/>
  <c r="C25" i="3"/>
  <c r="D80" i="2"/>
  <c r="D81" i="2"/>
  <c r="C22" i="4"/>
  <c r="C40" i="4"/>
  <c r="I64" i="4" s="1"/>
  <c r="H67" i="4"/>
  <c r="H68" i="4" s="1"/>
  <c r="H69" i="4" s="1"/>
  <c r="H70" i="4" s="1"/>
  <c r="H71" i="4" s="1"/>
  <c r="H72" i="4" s="1"/>
  <c r="H73" i="4" s="1"/>
  <c r="H74" i="4" s="1"/>
  <c r="H75" i="4" s="1"/>
  <c r="H76" i="4" s="1"/>
  <c r="H77" i="4" s="1"/>
  <c r="F60" i="4"/>
  <c r="B48" i="4" l="1"/>
  <c r="G22" i="4"/>
  <c r="C49" i="36"/>
  <c r="C50" i="36"/>
  <c r="D13" i="36"/>
  <c r="F25" i="47" s="1"/>
  <c r="D51" i="36"/>
  <c r="B20" i="26"/>
  <c r="C27" i="4"/>
  <c r="I63" i="4"/>
  <c r="S63" i="4" s="1"/>
  <c r="D54" i="44" l="1"/>
  <c r="E54" i="44"/>
  <c r="C51" i="36"/>
  <c r="D12" i="36"/>
  <c r="F24" i="47" s="1"/>
  <c r="D81" i="4" l="1"/>
  <c r="B44" i="11" l="1"/>
  <c r="B45" i="11"/>
  <c r="C19" i="8" l="1"/>
  <c r="C17" i="3"/>
  <c r="B11" i="5"/>
  <c r="B12" i="5"/>
  <c r="B13" i="5"/>
  <c r="B14" i="5"/>
  <c r="C15" i="3"/>
  <c r="C16" i="3"/>
  <c r="I11" i="29" l="1"/>
  <c r="C11" i="29" s="1"/>
  <c r="I10" i="29" l="1"/>
  <c r="C10" i="29" s="1"/>
  <c r="I18" i="29"/>
  <c r="C18" i="29" s="1"/>
  <c r="I16" i="29"/>
  <c r="C16" i="29" s="1"/>
  <c r="I14" i="29"/>
  <c r="C14" i="29" s="1"/>
  <c r="I12" i="29" l="1"/>
  <c r="C12" i="29" s="1"/>
  <c r="I13" i="29"/>
  <c r="C13" i="29" s="1"/>
  <c r="C12" i="7" l="1"/>
  <c r="L26" i="11" l="1"/>
  <c r="L27" i="11"/>
  <c r="L28" i="11"/>
  <c r="L29" i="11"/>
  <c r="G7" i="11"/>
  <c r="G8" i="11"/>
  <c r="G9" i="11"/>
  <c r="G10" i="11"/>
  <c r="G11" i="11"/>
  <c r="G12" i="11"/>
  <c r="G13" i="11"/>
  <c r="G14" i="11"/>
  <c r="G15" i="11"/>
  <c r="G16" i="11"/>
  <c r="G17" i="11"/>
  <c r="G18" i="11"/>
  <c r="G19" i="11"/>
  <c r="G20" i="11"/>
  <c r="G5" i="11"/>
  <c r="C44" i="4"/>
  <c r="C43" i="4"/>
  <c r="C42" i="4"/>
  <c r="C39" i="4"/>
  <c r="C18" i="6"/>
  <c r="C16" i="6"/>
  <c r="D88" i="2" l="1"/>
  <c r="J55" i="44" l="1"/>
  <c r="J52" i="44"/>
  <c r="J48" i="44"/>
  <c r="J49" i="44"/>
  <c r="I52" i="44"/>
  <c r="I54" i="44"/>
  <c r="I56" i="44"/>
  <c r="I50" i="44"/>
  <c r="J56" i="44"/>
  <c r="J50" i="44"/>
  <c r="J51" i="44"/>
  <c r="I55" i="44"/>
  <c r="J54" i="44"/>
  <c r="I51" i="44"/>
  <c r="I53" i="44"/>
  <c r="J53" i="44"/>
  <c r="L21" i="11"/>
  <c r="G6" i="11"/>
  <c r="B15" i="5"/>
  <c r="B23" i="7"/>
  <c r="B21" i="7" l="1"/>
  <c r="N21" i="11" l="1"/>
  <c r="N26" i="11"/>
  <c r="M21" i="11"/>
  <c r="N6" i="11"/>
  <c r="N7" i="11"/>
  <c r="N8" i="11"/>
  <c r="N9" i="11"/>
  <c r="N10" i="11"/>
  <c r="N11" i="11"/>
  <c r="N12" i="11"/>
  <c r="N13" i="11"/>
  <c r="N14" i="11"/>
  <c r="N16" i="11"/>
  <c r="N17" i="11"/>
  <c r="N18" i="11"/>
  <c r="N19" i="11"/>
  <c r="N20" i="11"/>
  <c r="N22" i="11"/>
  <c r="N23" i="11"/>
  <c r="N24" i="11"/>
  <c r="N25" i="11"/>
  <c r="N27" i="11"/>
  <c r="N28" i="11"/>
  <c r="N29" i="11"/>
  <c r="N5" i="11"/>
  <c r="M22" i="11"/>
  <c r="M23" i="11"/>
  <c r="M24" i="11"/>
  <c r="M25" i="11"/>
  <c r="M26" i="11"/>
  <c r="M27" i="11"/>
  <c r="M28" i="11"/>
  <c r="M29" i="11"/>
  <c r="M5" i="11"/>
  <c r="L23" i="11" l="1"/>
  <c r="L24" i="11"/>
  <c r="L25" i="11"/>
  <c r="L22" i="11"/>
  <c r="M20" i="11"/>
  <c r="M19" i="11"/>
  <c r="M18" i="11"/>
  <c r="M17" i="11"/>
  <c r="M16" i="11"/>
  <c r="C15" i="11"/>
  <c r="M14" i="11"/>
  <c r="M13" i="11"/>
  <c r="M12" i="11"/>
  <c r="M11" i="11"/>
  <c r="M10" i="11"/>
  <c r="M9" i="11"/>
  <c r="M8" i="11"/>
  <c r="M7" i="11"/>
  <c r="M6" i="11"/>
  <c r="C24" i="8"/>
  <c r="C21" i="3"/>
  <c r="N15" i="11" l="1"/>
  <c r="M15" i="11"/>
  <c r="C23" i="8" l="1"/>
  <c r="C22" i="8"/>
  <c r="C27" i="8"/>
  <c r="C26" i="8"/>
  <c r="C25" i="8"/>
  <c r="C26" i="4"/>
  <c r="C24" i="4"/>
  <c r="C38" i="4"/>
  <c r="C35" i="4"/>
  <c r="C34" i="4"/>
  <c r="L62" i="4" s="1"/>
  <c r="E62" i="8"/>
  <c r="E63" i="8" s="1"/>
  <c r="F61" i="8"/>
  <c r="F60" i="8"/>
  <c r="F59" i="8"/>
  <c r="F58" i="8"/>
  <c r="F57" i="8"/>
  <c r="F56" i="8"/>
  <c r="F55" i="8"/>
  <c r="F54" i="8"/>
  <c r="F53" i="8"/>
  <c r="F52" i="8"/>
  <c r="F51" i="8"/>
  <c r="F50" i="8"/>
  <c r="F49" i="8"/>
  <c r="F48" i="8"/>
  <c r="F47" i="8"/>
  <c r="F46" i="8"/>
  <c r="F45" i="8"/>
  <c r="F44" i="8"/>
  <c r="F43" i="8"/>
  <c r="F42" i="8"/>
  <c r="F41" i="8"/>
  <c r="F40" i="8"/>
  <c r="C16" i="8"/>
  <c r="B34" i="8" s="1"/>
  <c r="C18" i="7"/>
  <c r="C15" i="7"/>
  <c r="C11" i="7"/>
  <c r="B24" i="7" s="1"/>
  <c r="C19" i="6"/>
  <c r="C13" i="6"/>
  <c r="B10" i="5"/>
  <c r="D53" i="44" l="1"/>
  <c r="D57" i="44" s="1"/>
  <c r="E53" i="44"/>
  <c r="G52" i="8"/>
  <c r="I52" i="8" s="1"/>
  <c r="G48" i="8"/>
  <c r="I48" i="8" s="1"/>
  <c r="G43" i="8"/>
  <c r="G40" i="8"/>
  <c r="G41" i="8"/>
  <c r="G42" i="8"/>
  <c r="G44" i="8"/>
  <c r="G45" i="8"/>
  <c r="G46" i="8"/>
  <c r="G47" i="8"/>
  <c r="H40" i="8"/>
  <c r="H41" i="8"/>
  <c r="H42" i="8"/>
  <c r="H43" i="8"/>
  <c r="H44" i="8"/>
  <c r="H45" i="8"/>
  <c r="H46" i="8"/>
  <c r="H47" i="8"/>
  <c r="J75" i="4"/>
  <c r="J64" i="4"/>
  <c r="L69" i="4"/>
  <c r="L68" i="4"/>
  <c r="M68" i="4" s="1"/>
  <c r="B22" i="7"/>
  <c r="H52" i="44" s="1"/>
  <c r="G51" i="8"/>
  <c r="H52" i="8"/>
  <c r="J52" i="8" s="1"/>
  <c r="G49" i="8"/>
  <c r="I49" i="8" s="1"/>
  <c r="H59" i="8"/>
  <c r="J59" i="8" s="1"/>
  <c r="H48" i="8"/>
  <c r="J48" i="8" s="1"/>
  <c r="G59" i="8"/>
  <c r="I59" i="8" s="1"/>
  <c r="H55" i="8"/>
  <c r="J55" i="8" s="1"/>
  <c r="G55" i="8"/>
  <c r="I55" i="8" s="1"/>
  <c r="H51" i="8"/>
  <c r="J51" i="8" s="1"/>
  <c r="G60" i="8"/>
  <c r="I60" i="8" s="1"/>
  <c r="G56" i="8"/>
  <c r="I56" i="8" s="1"/>
  <c r="H62" i="8"/>
  <c r="J62" i="8" s="1"/>
  <c r="H58" i="8"/>
  <c r="J58" i="8" s="1"/>
  <c r="H54" i="8"/>
  <c r="J54" i="8" s="1"/>
  <c r="H50" i="8"/>
  <c r="J50" i="8" s="1"/>
  <c r="G62" i="8"/>
  <c r="I62" i="8" s="1"/>
  <c r="G58" i="8"/>
  <c r="I58" i="8" s="1"/>
  <c r="G54" i="8"/>
  <c r="I54" i="8" s="1"/>
  <c r="G50" i="8"/>
  <c r="I50" i="8" s="1"/>
  <c r="H61" i="8"/>
  <c r="J61" i="8" s="1"/>
  <c r="H57" i="8"/>
  <c r="J57" i="8" s="1"/>
  <c r="H53" i="8"/>
  <c r="J53" i="8" s="1"/>
  <c r="H49" i="8"/>
  <c r="J49" i="8" s="1"/>
  <c r="G61" i="8"/>
  <c r="I61" i="8" s="1"/>
  <c r="G57" i="8"/>
  <c r="I57" i="8" s="1"/>
  <c r="G53" i="8"/>
  <c r="I53" i="8" s="1"/>
  <c r="H60" i="8"/>
  <c r="J60" i="8" s="1"/>
  <c r="H56" i="8"/>
  <c r="J56" i="8" s="1"/>
  <c r="F62" i="8"/>
  <c r="F63" i="8" s="1"/>
  <c r="B18" i="5"/>
  <c r="E50" i="44" s="1"/>
  <c r="L65" i="4"/>
  <c r="M65" i="4" s="1"/>
  <c r="L66" i="4"/>
  <c r="M66" i="4" s="1"/>
  <c r="L67" i="4"/>
  <c r="L70" i="4"/>
  <c r="L71" i="4"/>
  <c r="L72" i="4"/>
  <c r="L73" i="4"/>
  <c r="L74" i="4"/>
  <c r="L75" i="4"/>
  <c r="M75" i="4" s="1"/>
  <c r="L76" i="4"/>
  <c r="L77" i="4"/>
  <c r="M77" i="4" s="1"/>
  <c r="L78" i="4"/>
  <c r="L79" i="4"/>
  <c r="L63" i="4"/>
  <c r="M63" i="4" s="1"/>
  <c r="L64" i="4"/>
  <c r="Q64" i="4" s="1"/>
  <c r="J65" i="4"/>
  <c r="J66" i="4"/>
  <c r="J67" i="4"/>
  <c r="J68" i="4"/>
  <c r="J69" i="4"/>
  <c r="J70" i="4"/>
  <c r="J71" i="4"/>
  <c r="J72" i="4"/>
  <c r="J73" i="4"/>
  <c r="J74" i="4"/>
  <c r="J76" i="4"/>
  <c r="J77" i="4"/>
  <c r="J78" i="4"/>
  <c r="J79" i="4"/>
  <c r="E79" i="4"/>
  <c r="E80" i="4" s="1"/>
  <c r="F78" i="4"/>
  <c r="G78" i="4" s="1"/>
  <c r="F77" i="4"/>
  <c r="F76" i="4"/>
  <c r="F75" i="4"/>
  <c r="F74" i="4"/>
  <c r="F73" i="4"/>
  <c r="F72" i="4"/>
  <c r="F71" i="4"/>
  <c r="F70" i="4"/>
  <c r="F69" i="4"/>
  <c r="F68" i="4"/>
  <c r="F67" i="4"/>
  <c r="F66" i="4"/>
  <c r="F65" i="4"/>
  <c r="G65" i="4" s="1"/>
  <c r="F64" i="4"/>
  <c r="G64" i="4" s="1"/>
  <c r="F62" i="4"/>
  <c r="G62" i="4" s="1"/>
  <c r="F61" i="4"/>
  <c r="G61" i="4" s="1"/>
  <c r="G60" i="4"/>
  <c r="F59" i="4"/>
  <c r="G59" i="4" s="1"/>
  <c r="F58" i="4"/>
  <c r="G58" i="4" s="1"/>
  <c r="F57" i="4"/>
  <c r="G57" i="4" s="1"/>
  <c r="D80" i="4"/>
  <c r="D82" i="4" s="1"/>
  <c r="C21" i="4"/>
  <c r="C20" i="6"/>
  <c r="C25" i="4"/>
  <c r="C23" i="3"/>
  <c r="C22" i="3"/>
  <c r="D70" i="2"/>
  <c r="C18" i="3" s="1"/>
  <c r="C20" i="3"/>
  <c r="D13" i="3"/>
  <c r="C13" i="3"/>
  <c r="E57" i="44" l="1"/>
  <c r="B30" i="3"/>
  <c r="H49" i="44" s="1"/>
  <c r="K51" i="8"/>
  <c r="I51" i="8"/>
  <c r="I63" i="8" s="1"/>
  <c r="R63" i="4"/>
  <c r="C27" i="3"/>
  <c r="B33" i="3" s="1"/>
  <c r="N63" i="4"/>
  <c r="K65" i="4"/>
  <c r="K68" i="4"/>
  <c r="M64" i="4"/>
  <c r="K48" i="8"/>
  <c r="K59" i="8"/>
  <c r="K54" i="8"/>
  <c r="K52" i="8"/>
  <c r="K62" i="8"/>
  <c r="K58" i="8"/>
  <c r="K53" i="8"/>
  <c r="K50" i="8"/>
  <c r="K60" i="8"/>
  <c r="K57" i="8"/>
  <c r="K49" i="8"/>
  <c r="K61" i="8"/>
  <c r="K56" i="8"/>
  <c r="K55" i="8"/>
  <c r="B31" i="3"/>
  <c r="K79" i="4"/>
  <c r="J63" i="8"/>
  <c r="C26" i="3"/>
  <c r="B32" i="3" s="1"/>
  <c r="P64" i="4"/>
  <c r="M78" i="4"/>
  <c r="R78" i="4"/>
  <c r="R70" i="4"/>
  <c r="R77" i="4"/>
  <c r="R69" i="4"/>
  <c r="R76" i="4"/>
  <c r="R68" i="4"/>
  <c r="R67" i="4"/>
  <c r="R74" i="4"/>
  <c r="R66" i="4"/>
  <c r="R75" i="4"/>
  <c r="R73" i="4"/>
  <c r="R65" i="4"/>
  <c r="R72" i="4"/>
  <c r="R64" i="4"/>
  <c r="R71" i="4"/>
  <c r="I73" i="4"/>
  <c r="M74" i="4"/>
  <c r="I68" i="4"/>
  <c r="Q71" i="4"/>
  <c r="M70" i="4"/>
  <c r="Q76" i="4"/>
  <c r="Q68" i="4"/>
  <c r="Q72" i="4"/>
  <c r="Q77" i="4"/>
  <c r="Q69" i="4"/>
  <c r="P74" i="4"/>
  <c r="I74" i="4"/>
  <c r="P75" i="4"/>
  <c r="P67" i="4"/>
  <c r="M67" i="4"/>
  <c r="P66" i="4"/>
  <c r="I72" i="4"/>
  <c r="P73" i="4"/>
  <c r="P65" i="4"/>
  <c r="M73" i="4"/>
  <c r="Q78" i="4"/>
  <c r="Q70" i="4"/>
  <c r="I69" i="4"/>
  <c r="P72" i="4"/>
  <c r="M72" i="4"/>
  <c r="P71" i="4"/>
  <c r="M79" i="4"/>
  <c r="M71" i="4"/>
  <c r="I66" i="4"/>
  <c r="K78" i="4"/>
  <c r="K70" i="4"/>
  <c r="Q75" i="4"/>
  <c r="Q67" i="4"/>
  <c r="I77" i="4"/>
  <c r="I65" i="4"/>
  <c r="P77" i="4"/>
  <c r="P69" i="4"/>
  <c r="M69" i="4"/>
  <c r="Q74" i="4"/>
  <c r="Q66" i="4"/>
  <c r="I76" i="4"/>
  <c r="K76" i="4"/>
  <c r="M76" i="4"/>
  <c r="Q73" i="4"/>
  <c r="Q65" i="4"/>
  <c r="K77" i="4"/>
  <c r="K75" i="4"/>
  <c r="K69" i="4"/>
  <c r="L80" i="4"/>
  <c r="K67" i="4"/>
  <c r="N66" i="4"/>
  <c r="N76" i="4"/>
  <c r="N68" i="4"/>
  <c r="P78" i="4"/>
  <c r="P70" i="4"/>
  <c r="J80" i="4"/>
  <c r="I75" i="4"/>
  <c r="I67" i="4"/>
  <c r="N75" i="4"/>
  <c r="N67" i="4"/>
  <c r="P76" i="4"/>
  <c r="N65" i="4"/>
  <c r="K74" i="4"/>
  <c r="K66" i="4"/>
  <c r="N72" i="4"/>
  <c r="K73" i="4"/>
  <c r="N74" i="4"/>
  <c r="P68" i="4"/>
  <c r="N73" i="4"/>
  <c r="N64" i="4"/>
  <c r="I79" i="4"/>
  <c r="I71" i="4"/>
  <c r="N71" i="4"/>
  <c r="K72" i="4"/>
  <c r="I78" i="4"/>
  <c r="I70" i="4"/>
  <c r="N78" i="4"/>
  <c r="N70" i="4"/>
  <c r="K71" i="4"/>
  <c r="N77" i="4"/>
  <c r="N69" i="4"/>
  <c r="F79" i="4"/>
  <c r="G49" i="44" l="1"/>
  <c r="F49" i="44"/>
  <c r="B35" i="8"/>
  <c r="H53" i="44" s="1"/>
  <c r="O77" i="4"/>
  <c r="I80" i="4"/>
  <c r="K63" i="8"/>
  <c r="B36" i="8" s="1"/>
  <c r="S72" i="4"/>
  <c r="S76" i="4"/>
  <c r="O78" i="4"/>
  <c r="S65" i="4"/>
  <c r="S69" i="4"/>
  <c r="O67" i="4"/>
  <c r="O71" i="4"/>
  <c r="O63" i="4"/>
  <c r="O70" i="4"/>
  <c r="S64" i="4"/>
  <c r="S68" i="4"/>
  <c r="O75" i="4"/>
  <c r="O72" i="4"/>
  <c r="O68" i="4"/>
  <c r="S73" i="4"/>
  <c r="S77" i="4"/>
  <c r="O66" i="4"/>
  <c r="O69" i="4"/>
  <c r="S75" i="4"/>
  <c r="S70" i="4"/>
  <c r="O73" i="4"/>
  <c r="S66" i="4"/>
  <c r="S78" i="4"/>
  <c r="O64" i="4"/>
  <c r="O65" i="4"/>
  <c r="S71" i="4"/>
  <c r="S74" i="4"/>
  <c r="O74" i="4"/>
  <c r="O76" i="4"/>
  <c r="S67" i="4"/>
  <c r="R79" i="4"/>
  <c r="M80" i="4"/>
  <c r="G79" i="4"/>
  <c r="Q80" i="4"/>
  <c r="R84" i="4" s="1"/>
  <c r="B51" i="4" s="1"/>
  <c r="N79" i="4"/>
  <c r="N80" i="4" s="1"/>
  <c r="P79" i="4"/>
  <c r="P80" i="4" s="1"/>
  <c r="K80" i="4"/>
  <c r="R83" i="4" l="1"/>
  <c r="O79" i="4"/>
  <c r="O80" i="4" s="1"/>
  <c r="R80" i="4"/>
  <c r="S79" i="4"/>
  <c r="S80" i="4" s="1"/>
  <c r="R85" i="4" l="1"/>
  <c r="R86" i="4" s="1"/>
  <c r="R82" i="4"/>
  <c r="R87" i="4" l="1"/>
  <c r="B50" i="4" s="1"/>
  <c r="B52" i="4" s="1"/>
  <c r="H48" i="44" s="1"/>
  <c r="H57" i="44" l="1"/>
  <c r="D90" i="48"/>
  <c r="B53" i="4"/>
  <c r="D81" i="48" l="1"/>
  <c r="D111" i="48" s="1"/>
  <c r="D120" i="48"/>
  <c r="D92" i="48"/>
  <c r="D89" i="48"/>
  <c r="D87" i="48"/>
  <c r="D117" i="48" s="1"/>
  <c r="D96" i="48"/>
  <c r="D126" i="48" s="1"/>
  <c r="D98" i="48"/>
  <c r="D93" i="48"/>
  <c r="D83" i="48"/>
  <c r="D84" i="48"/>
  <c r="D97" i="48"/>
  <c r="D127" i="48" s="1"/>
  <c r="D88" i="48"/>
  <c r="D118" i="48" s="1"/>
  <c r="D85" i="48"/>
  <c r="D94" i="48"/>
  <c r="D82" i="48"/>
  <c r="D91" i="48"/>
  <c r="D95" i="48"/>
  <c r="D125" i="48" s="1"/>
  <c r="D86" i="48"/>
  <c r="D116" i="48" s="1"/>
  <c r="D136" i="48" l="1"/>
  <c r="E15" i="53" s="1"/>
  <c r="I81" i="48"/>
  <c r="I90" i="48"/>
  <c r="G17" i="53"/>
  <c r="I17" i="53"/>
  <c r="H17" i="53"/>
  <c r="F17" i="53"/>
  <c r="I84" i="48"/>
  <c r="D114" i="48"/>
  <c r="I96" i="48"/>
  <c r="I89" i="48"/>
  <c r="D119" i="48"/>
  <c r="I94" i="48"/>
  <c r="D124" i="48"/>
  <c r="I95" i="48"/>
  <c r="I93" i="48"/>
  <c r="D123" i="48"/>
  <c r="I92" i="48"/>
  <c r="D122" i="48"/>
  <c r="I83" i="48"/>
  <c r="D113" i="48"/>
  <c r="I91" i="48"/>
  <c r="D121" i="48"/>
  <c r="I88" i="48"/>
  <c r="I97" i="48"/>
  <c r="I87" i="48"/>
  <c r="I86" i="48"/>
  <c r="I82" i="48"/>
  <c r="D112" i="48"/>
  <c r="I85" i="48"/>
  <c r="D115" i="48"/>
  <c r="I98" i="48"/>
  <c r="D128" i="48"/>
  <c r="D138" i="48" l="1"/>
  <c r="E17" i="53" s="1"/>
  <c r="W9" i="55"/>
  <c r="W6" i="55"/>
  <c r="W7" i="55"/>
  <c r="W8" i="55"/>
  <c r="D131" i="48"/>
  <c r="I131" i="48" s="1"/>
  <c r="D134" i="48" l="1"/>
  <c r="D142" i="48" s="1"/>
  <c r="E159" i="48" l="1"/>
  <c r="E161" i="48" s="1"/>
  <c r="E157" i="48"/>
  <c r="E158" i="48"/>
  <c r="E160" i="48" s="1"/>
  <c r="D159" i="48"/>
  <c r="D161" i="48" s="1"/>
  <c r="D157" i="48"/>
  <c r="D158" i="48"/>
  <c r="D160" i="48" s="1"/>
  <c r="D146" i="48"/>
  <c r="W5" i="55" s="1"/>
  <c r="I134" i="48"/>
  <c r="G77" i="4"/>
  <c r="G76" i="4"/>
  <c r="G75" i="4"/>
  <c r="G74" i="4"/>
  <c r="E81" i="47" l="1"/>
  <c r="D81" i="47"/>
  <c r="G67" i="4"/>
  <c r="G66" i="4"/>
  <c r="G68" i="4" l="1"/>
  <c r="G69" i="4" l="1"/>
  <c r="G70" i="4" l="1"/>
  <c r="G71" i="4" l="1"/>
  <c r="G73" i="4" l="1"/>
  <c r="G72" i="4"/>
  <c r="G80" i="4" s="1"/>
  <c r="F48" i="44" l="1"/>
  <c r="F57" i="44" l="1"/>
  <c r="B49" i="4"/>
  <c r="G48" i="44" s="1"/>
  <c r="C17" i="6"/>
  <c r="D83" i="2"/>
  <c r="E66" i="44" l="1"/>
  <c r="E72" i="44" s="1"/>
  <c r="E65" i="44"/>
  <c r="B23" i="6"/>
  <c r="B24" i="6" s="1"/>
  <c r="G51" i="44" s="1"/>
  <c r="E71" i="44" l="1"/>
  <c r="E67" i="44"/>
  <c r="G57" i="44"/>
  <c r="F35" i="53"/>
  <c r="F39" i="53" s="1"/>
  <c r="I35" i="53"/>
  <c r="I39" i="53" s="1"/>
  <c r="G35" i="53"/>
  <c r="G39" i="53" s="1"/>
  <c r="I114" i="48"/>
  <c r="I123" i="48"/>
  <c r="I112" i="48"/>
  <c r="I127" i="48"/>
  <c r="I124" i="48"/>
  <c r="I126" i="48"/>
  <c r="I128" i="48"/>
  <c r="I122" i="48"/>
  <c r="I119" i="48"/>
  <c r="I125" i="48"/>
  <c r="I113" i="48"/>
  <c r="F65" i="44" l="1"/>
  <c r="F66" i="44"/>
  <c r="F72" i="44" s="1"/>
  <c r="G72" i="44" s="1"/>
  <c r="D76" i="48"/>
  <c r="D80" i="48"/>
  <c r="D79" i="48"/>
  <c r="D78" i="48"/>
  <c r="D74" i="48"/>
  <c r="D77" i="48"/>
  <c r="D73" i="48"/>
  <c r="D72" i="48"/>
  <c r="D75" i="48"/>
  <c r="I111" i="48"/>
  <c r="D133" i="48"/>
  <c r="I120" i="48"/>
  <c r="E35" i="53"/>
  <c r="I121" i="48"/>
  <c r="I133" i="48" l="1"/>
  <c r="F157" i="48"/>
  <c r="F158" i="48"/>
  <c r="F160" i="48" s="1"/>
  <c r="F159" i="48"/>
  <c r="F161" i="48" s="1"/>
  <c r="E39" i="53"/>
  <c r="I77" i="48"/>
  <c r="I78" i="48"/>
  <c r="I74" i="48"/>
  <c r="I80" i="48"/>
  <c r="I79" i="48"/>
  <c r="I76" i="48"/>
  <c r="I75" i="48"/>
  <c r="I72" i="48"/>
  <c r="I73" i="48"/>
  <c r="F71" i="44"/>
  <c r="F67" i="44"/>
  <c r="G67" i="44"/>
  <c r="G80" i="44" s="1"/>
  <c r="F81" i="47" l="1"/>
  <c r="G82" i="44"/>
  <c r="G81" i="44"/>
  <c r="G73" i="44"/>
  <c r="H80" i="44" s="1"/>
  <c r="G71" i="44"/>
  <c r="D107" i="48" l="1"/>
  <c r="C28" i="55" s="1"/>
  <c r="O5" i="55" s="1"/>
  <c r="O10" i="55" s="1"/>
  <c r="D109" i="48"/>
  <c r="D108" i="48"/>
  <c r="C29" i="55" s="1"/>
  <c r="P5" i="55" s="1"/>
  <c r="P10" i="55" s="1"/>
  <c r="D104" i="48"/>
  <c r="C25" i="55" s="1"/>
  <c r="L5" i="55" s="1"/>
  <c r="L10" i="55" s="1"/>
  <c r="D106" i="48"/>
  <c r="C27" i="55" s="1"/>
  <c r="N5" i="55" s="1"/>
  <c r="N10" i="55" s="1"/>
  <c r="D110" i="48"/>
  <c r="C31" i="55" s="1"/>
  <c r="R5" i="55" s="1"/>
  <c r="R10" i="55" s="1"/>
  <c r="D102" i="48"/>
  <c r="D105" i="48"/>
  <c r="C26" i="55" s="1"/>
  <c r="M5" i="55" s="1"/>
  <c r="M10" i="55" s="1"/>
  <c r="C30" i="55"/>
  <c r="Q5" i="55" s="1"/>
  <c r="Q10" i="55" s="1"/>
  <c r="D103" i="48"/>
  <c r="H81" i="44"/>
  <c r="H82" i="44"/>
  <c r="I118" i="48"/>
  <c r="D137" i="48" l="1"/>
  <c r="E16" i="53" s="1"/>
  <c r="E25" i="53" s="1"/>
  <c r="D135" i="48"/>
  <c r="C24" i="55"/>
  <c r="K5" i="55" s="1"/>
  <c r="K10" i="55" s="1"/>
  <c r="D130" i="48"/>
  <c r="D129" i="48"/>
  <c r="E33" i="53"/>
  <c r="E34" i="53" s="1"/>
  <c r="E38" i="53" s="1"/>
  <c r="J61" i="48"/>
  <c r="I115" i="48"/>
  <c r="E14" i="53" l="1"/>
  <c r="E26" i="53" s="1"/>
  <c r="E27" i="53" s="1"/>
  <c r="C23" i="55"/>
  <c r="C35" i="55" s="1"/>
  <c r="D139" i="48"/>
  <c r="D141" i="48"/>
  <c r="D132" i="48"/>
  <c r="I14" i="53"/>
  <c r="I26" i="53" s="1"/>
  <c r="H33" i="53"/>
  <c r="H34" i="53" s="1"/>
  <c r="H38" i="53" s="1"/>
  <c r="G33" i="53"/>
  <c r="G34" i="53" s="1"/>
  <c r="G38" i="53" s="1"/>
  <c r="I33" i="53"/>
  <c r="I34" i="53" s="1"/>
  <c r="I38" i="53" s="1"/>
  <c r="F33" i="53"/>
  <c r="I109" i="48"/>
  <c r="I103" i="48"/>
  <c r="G14" i="53"/>
  <c r="G26" i="53" s="1"/>
  <c r="H14" i="53"/>
  <c r="H26" i="53" s="1"/>
  <c r="I105" i="48"/>
  <c r="I110" i="48"/>
  <c r="I104" i="48"/>
  <c r="I107" i="48"/>
  <c r="F14" i="53"/>
  <c r="F26" i="53" s="1"/>
  <c r="I102" i="48"/>
  <c r="I106" i="48"/>
  <c r="I108" i="48"/>
  <c r="J5" i="55" l="1"/>
  <c r="J10" i="55" s="1"/>
  <c r="E19" i="53"/>
  <c r="E21" i="53" s="1"/>
  <c r="E22" i="53" s="1"/>
  <c r="X5" i="55" s="1"/>
  <c r="C74" i="47"/>
  <c r="E154" i="48"/>
  <c r="D154" i="48"/>
  <c r="D140" i="48"/>
  <c r="E32" i="53"/>
  <c r="E37" i="53" s="1"/>
  <c r="E40" i="53" s="1"/>
  <c r="I130" i="48"/>
  <c r="I141" i="48"/>
  <c r="I129" i="48"/>
  <c r="F154" i="48"/>
  <c r="V6" i="55"/>
  <c r="F34" i="53"/>
  <c r="J33" i="53"/>
  <c r="G16" i="53"/>
  <c r="G25" i="53" s="1"/>
  <c r="G27" i="53" s="1"/>
  <c r="G22" i="53"/>
  <c r="F16" i="53"/>
  <c r="F25" i="53" s="1"/>
  <c r="F27" i="53" s="1"/>
  <c r="F21" i="53"/>
  <c r="F22" i="53" s="1"/>
  <c r="X6" i="55" s="1"/>
  <c r="I16" i="53"/>
  <c r="I25" i="53" s="1"/>
  <c r="I27" i="53" s="1"/>
  <c r="I21" i="53"/>
  <c r="I22" i="53" s="1"/>
  <c r="H16" i="53"/>
  <c r="H25" i="53" s="1"/>
  <c r="H27" i="53" s="1"/>
  <c r="H21" i="53"/>
  <c r="H22" i="53" s="1"/>
  <c r="H35" i="53"/>
  <c r="I17" i="29"/>
  <c r="C17" i="29" s="1"/>
  <c r="I15" i="29"/>
  <c r="C15" i="29" s="1"/>
  <c r="X7" i="55" l="1"/>
  <c r="X8" i="55"/>
  <c r="X9" i="55"/>
  <c r="E156" i="48"/>
  <c r="E80" i="47" s="1"/>
  <c r="E155" i="48"/>
  <c r="E79" i="47" s="1"/>
  <c r="D155" i="48"/>
  <c r="D79" i="47" s="1"/>
  <c r="D156" i="48"/>
  <c r="D80" i="47" s="1"/>
  <c r="D144" i="48"/>
  <c r="V5" i="55" s="1"/>
  <c r="D143" i="48"/>
  <c r="H32" i="53"/>
  <c r="H37" i="53" s="1"/>
  <c r="I32" i="53"/>
  <c r="I37" i="53" s="1"/>
  <c r="I40" i="53" s="1"/>
  <c r="G32" i="53"/>
  <c r="G37" i="53" s="1"/>
  <c r="G40" i="53" s="1"/>
  <c r="F32" i="53"/>
  <c r="F37" i="53" s="1"/>
  <c r="I132" i="48"/>
  <c r="E59" i="37"/>
  <c r="E72" i="37"/>
  <c r="E73" i="37"/>
  <c r="E58" i="37"/>
  <c r="E88" i="37"/>
  <c r="G154" i="48"/>
  <c r="F155" i="48"/>
  <c r="F79" i="47" s="1"/>
  <c r="F156" i="48"/>
  <c r="F80" i="47" s="1"/>
  <c r="F38" i="53"/>
  <c r="J38" i="53" s="1"/>
  <c r="J34" i="53"/>
  <c r="H39" i="53"/>
  <c r="J35" i="53"/>
  <c r="J22" i="53"/>
  <c r="J27" i="53"/>
  <c r="X10" i="55" l="1"/>
  <c r="E47" i="53"/>
  <c r="E48" i="53" s="1"/>
  <c r="J84" i="47" s="1"/>
  <c r="C80" i="47"/>
  <c r="C79" i="47"/>
  <c r="E153" i="48"/>
  <c r="E78" i="47" s="1"/>
  <c r="F153" i="48"/>
  <c r="F78" i="47" s="1"/>
  <c r="D153" i="48"/>
  <c r="D78" i="47" s="1"/>
  <c r="V7" i="55"/>
  <c r="I81" i="37"/>
  <c r="V9" i="55"/>
  <c r="V8" i="55"/>
  <c r="H40" i="53"/>
  <c r="I142" i="48"/>
  <c r="G82" i="37"/>
  <c r="I140" i="48"/>
  <c r="J32" i="53"/>
  <c r="I116" i="48"/>
  <c r="G155" i="48"/>
  <c r="I117" i="48"/>
  <c r="G156" i="48"/>
  <c r="J39" i="53"/>
  <c r="F40" i="53"/>
  <c r="J37" i="53"/>
  <c r="N23" i="37"/>
  <c r="N22" i="37"/>
  <c r="M63" i="37"/>
  <c r="M71" i="37"/>
  <c r="M64" i="37"/>
  <c r="M84" i="37"/>
  <c r="M75" i="37"/>
  <c r="M66" i="37"/>
  <c r="M85" i="37"/>
  <c r="M88" i="37"/>
  <c r="M76" i="37"/>
  <c r="M54" i="37"/>
  <c r="M65" i="37"/>
  <c r="M46" i="37"/>
  <c r="M61" i="37"/>
  <c r="M73" i="37"/>
  <c r="M79" i="37"/>
  <c r="M87" i="37"/>
  <c r="M80" i="37"/>
  <c r="M70" i="37"/>
  <c r="M49" i="37"/>
  <c r="M44" i="37"/>
  <c r="M60" i="37"/>
  <c r="M77" i="37"/>
  <c r="M51" i="37"/>
  <c r="M55" i="37"/>
  <c r="M47" i="37"/>
  <c r="M67" i="37"/>
  <c r="M81" i="37"/>
  <c r="M72" i="37"/>
  <c r="M78" i="37"/>
  <c r="M82" i="37"/>
  <c r="M56" i="37"/>
  <c r="M50" i="37"/>
  <c r="M86" i="37"/>
  <c r="M74" i="37"/>
  <c r="M45" i="37"/>
  <c r="M48" i="37"/>
  <c r="M68" i="37"/>
  <c r="M52" i="37"/>
  <c r="M62" i="37"/>
  <c r="M59" i="37"/>
  <c r="M69" i="37"/>
  <c r="M83" i="37"/>
  <c r="M57" i="37"/>
  <c r="M58" i="37"/>
  <c r="M53" i="37"/>
  <c r="K57" i="37"/>
  <c r="K49" i="37"/>
  <c r="K52" i="37"/>
  <c r="K48" i="37"/>
  <c r="K86" i="37"/>
  <c r="K47" i="37"/>
  <c r="K46" i="37"/>
  <c r="K44" i="37"/>
  <c r="K77" i="37"/>
  <c r="K60" i="37"/>
  <c r="K72" i="37"/>
  <c r="K54" i="37"/>
  <c r="K50" i="37"/>
  <c r="K56" i="37"/>
  <c r="K45" i="37"/>
  <c r="K71" i="37"/>
  <c r="K67" i="37"/>
  <c r="K88" i="37"/>
  <c r="K53" i="37"/>
  <c r="K79" i="37"/>
  <c r="K58" i="37"/>
  <c r="K63" i="37"/>
  <c r="K61" i="37"/>
  <c r="K74" i="37"/>
  <c r="K84" i="37"/>
  <c r="K62" i="37"/>
  <c r="K82" i="37"/>
  <c r="K81" i="37"/>
  <c r="K70" i="37"/>
  <c r="K85" i="37"/>
  <c r="K64" i="37"/>
  <c r="K55" i="37"/>
  <c r="K65" i="37"/>
  <c r="K80" i="37"/>
  <c r="K76" i="37"/>
  <c r="K78" i="37"/>
  <c r="K73" i="37"/>
  <c r="K87" i="37"/>
  <c r="K83" i="37"/>
  <c r="K66" i="37"/>
  <c r="K68" i="37"/>
  <c r="K51" i="37"/>
  <c r="K69" i="37"/>
  <c r="K75" i="37"/>
  <c r="I62" i="37"/>
  <c r="I61" i="37"/>
  <c r="I54" i="37"/>
  <c r="I69" i="37"/>
  <c r="I84" i="37"/>
  <c r="I46" i="37"/>
  <c r="I85" i="37"/>
  <c r="I76" i="37"/>
  <c r="I87" i="37"/>
  <c r="I80" i="37"/>
  <c r="I78" i="37"/>
  <c r="I88" i="37"/>
  <c r="I68" i="37"/>
  <c r="I48" i="37"/>
  <c r="I74" i="37"/>
  <c r="I66" i="37"/>
  <c r="I45" i="37"/>
  <c r="L61" i="37"/>
  <c r="L64" i="37"/>
  <c r="L78" i="37"/>
  <c r="L85" i="37"/>
  <c r="L45" i="37"/>
  <c r="L52" i="37"/>
  <c r="L69" i="37"/>
  <c r="L72" i="37"/>
  <c r="L86" i="37"/>
  <c r="L80" i="37"/>
  <c r="L56" i="37"/>
  <c r="L62" i="37"/>
  <c r="L65" i="37"/>
  <c r="L82" i="37"/>
  <c r="L88" i="37"/>
  <c r="L48" i="37"/>
  <c r="L51" i="37"/>
  <c r="L66" i="37"/>
  <c r="L54" i="37"/>
  <c r="L70" i="37"/>
  <c r="L73" i="37"/>
  <c r="L79" i="37"/>
  <c r="L74" i="37"/>
  <c r="L57" i="37"/>
  <c r="L55" i="37"/>
  <c r="L63" i="37"/>
  <c r="L59" i="37"/>
  <c r="L87" i="37"/>
  <c r="L75" i="37"/>
  <c r="L49" i="37"/>
  <c r="L47" i="37"/>
  <c r="L58" i="37"/>
  <c r="L71" i="37"/>
  <c r="L83" i="37"/>
  <c r="L60" i="37"/>
  <c r="L84" i="37"/>
  <c r="L76" i="37"/>
  <c r="L46" i="37"/>
  <c r="L53" i="37"/>
  <c r="L67" i="37"/>
  <c r="L68" i="37"/>
  <c r="L50" i="37"/>
  <c r="L77" i="37"/>
  <c r="L44" i="37"/>
  <c r="L81" i="37"/>
  <c r="C78" i="47" l="1"/>
  <c r="I55" i="37"/>
  <c r="I56" i="37"/>
  <c r="I67" i="37"/>
  <c r="I71" i="37"/>
  <c r="I70" i="37"/>
  <c r="I47" i="37"/>
  <c r="I79" i="37"/>
  <c r="I72" i="37"/>
  <c r="I64" i="37"/>
  <c r="I82" i="37"/>
  <c r="I52" i="37"/>
  <c r="I63" i="37"/>
  <c r="I65" i="37"/>
  <c r="I53" i="37"/>
  <c r="I50" i="37"/>
  <c r="I75" i="37"/>
  <c r="I51" i="37"/>
  <c r="I77" i="37"/>
  <c r="I60" i="37"/>
  <c r="I73" i="37"/>
  <c r="I44" i="37"/>
  <c r="I58" i="37"/>
  <c r="I86" i="37"/>
  <c r="I59" i="37"/>
  <c r="I49" i="37"/>
  <c r="I57" i="37"/>
  <c r="I83" i="37"/>
  <c r="G61" i="37"/>
  <c r="G88" i="37"/>
  <c r="G64" i="37"/>
  <c r="G68" i="37"/>
  <c r="G71" i="37"/>
  <c r="G74" i="37"/>
  <c r="G47" i="37"/>
  <c r="G77" i="37"/>
  <c r="G48" i="37"/>
  <c r="G49" i="37"/>
  <c r="G57" i="37"/>
  <c r="G51" i="37"/>
  <c r="G56" i="37"/>
  <c r="G87" i="37"/>
  <c r="G67" i="37"/>
  <c r="E56" i="53"/>
  <c r="G86" i="37"/>
  <c r="G76" i="37"/>
  <c r="G50" i="37"/>
  <c r="G69" i="37"/>
  <c r="G54" i="37"/>
  <c r="G79" i="37"/>
  <c r="G45" i="37"/>
  <c r="G52" i="37"/>
  <c r="G78" i="37"/>
  <c r="G84" i="37"/>
  <c r="G72" i="37"/>
  <c r="G75" i="37"/>
  <c r="G85" i="37"/>
  <c r="G73" i="37"/>
  <c r="G81" i="37"/>
  <c r="G70" i="37"/>
  <c r="G46" i="37"/>
  <c r="G44" i="37"/>
  <c r="G55" i="37"/>
  <c r="G59" i="37"/>
  <c r="G83" i="37"/>
  <c r="G60" i="37"/>
  <c r="G63" i="37"/>
  <c r="G53" i="37"/>
  <c r="G80" i="37"/>
  <c r="G58" i="37"/>
  <c r="G65" i="37"/>
  <c r="G66" i="37"/>
  <c r="G62" i="37"/>
  <c r="G158" i="48"/>
  <c r="G153" i="48"/>
  <c r="G157" i="48"/>
  <c r="I143" i="48"/>
  <c r="G159" i="48"/>
  <c r="G160" i="48"/>
  <c r="E55" i="53"/>
  <c r="E54" i="53"/>
  <c r="J40" i="53"/>
  <c r="F44" i="53" s="1"/>
  <c r="H76" i="37"/>
  <c r="H84" i="37"/>
  <c r="H49" i="37"/>
  <c r="H62" i="37"/>
  <c r="H56" i="37"/>
  <c r="H77" i="37"/>
  <c r="H51" i="37"/>
  <c r="H65" i="37"/>
  <c r="H50" i="37"/>
  <c r="H57" i="37"/>
  <c r="H54" i="37"/>
  <c r="H55" i="37"/>
  <c r="H81" i="37"/>
  <c r="H59" i="37"/>
  <c r="H53" i="37"/>
  <c r="H70" i="37"/>
  <c r="H67" i="37"/>
  <c r="H47" i="37"/>
  <c r="H63" i="37"/>
  <c r="H68" i="37"/>
  <c r="H52" i="37"/>
  <c r="H45" i="37"/>
  <c r="H80" i="37"/>
  <c r="H78" i="37"/>
  <c r="H69" i="37"/>
  <c r="H73" i="37"/>
  <c r="H87" i="37"/>
  <c r="H83" i="37"/>
  <c r="H88" i="37"/>
  <c r="H46" i="37"/>
  <c r="H61" i="37"/>
  <c r="H66" i="37"/>
  <c r="H75" i="37"/>
  <c r="H72" i="37"/>
  <c r="H74" i="37"/>
  <c r="H79" i="37"/>
  <c r="H86" i="37"/>
  <c r="H85" i="37"/>
  <c r="H64" i="37"/>
  <c r="H48" i="37"/>
  <c r="H60" i="37"/>
  <c r="H71" i="37"/>
  <c r="H58" i="37"/>
  <c r="H44" i="37"/>
  <c r="H82" i="37"/>
  <c r="G161" i="48"/>
  <c r="B53" i="37"/>
  <c r="C53" i="37"/>
  <c r="B54" i="37"/>
  <c r="C54" i="37"/>
  <c r="B57" i="37"/>
  <c r="C57" i="37"/>
  <c r="C48" i="37"/>
  <c r="B48" i="37"/>
  <c r="C56" i="37"/>
  <c r="B56" i="37"/>
  <c r="B55" i="37"/>
  <c r="C55" i="37"/>
  <c r="B58" i="37"/>
  <c r="C58" i="37"/>
  <c r="C50" i="37"/>
  <c r="B50" i="37"/>
  <c r="B46" i="37"/>
  <c r="N76" i="37" s="1"/>
  <c r="C46" i="37"/>
  <c r="C45" i="37"/>
  <c r="B45" i="37"/>
  <c r="C49" i="37"/>
  <c r="B49" i="37"/>
  <c r="C51" i="37"/>
  <c r="B51" i="37"/>
  <c r="B47" i="37"/>
  <c r="C47" i="37"/>
  <c r="B52" i="37"/>
  <c r="C52" i="37"/>
  <c r="C92" i="47" l="1"/>
  <c r="F49" i="53"/>
  <c r="Y10" i="55"/>
  <c r="Y5" i="55"/>
  <c r="Y6" i="55"/>
  <c r="Y7" i="55"/>
  <c r="Y8" i="55"/>
  <c r="Y9" i="55"/>
  <c r="C90" i="47"/>
  <c r="V10" i="55"/>
  <c r="J50" i="37"/>
  <c r="J86" i="37"/>
  <c r="J70" i="37"/>
  <c r="J67" i="37"/>
  <c r="J81" i="37"/>
  <c r="J57" i="37"/>
  <c r="J72" i="37"/>
  <c r="J80" i="37"/>
  <c r="J87" i="37"/>
  <c r="N21" i="37"/>
  <c r="C44" i="37" s="1"/>
  <c r="E35" i="38" s="1"/>
  <c r="J45" i="37"/>
  <c r="J46" i="37"/>
  <c r="J47" i="37"/>
  <c r="J78" i="37"/>
  <c r="J60" i="37"/>
  <c r="J54" i="37"/>
  <c r="J44" i="37"/>
  <c r="J53" i="37"/>
  <c r="J69" i="37"/>
  <c r="J68" i="37"/>
  <c r="J52" i="37"/>
  <c r="J48" i="37"/>
  <c r="J51" i="37"/>
  <c r="J85" i="37"/>
  <c r="J64" i="37"/>
  <c r="J63" i="37"/>
  <c r="J73" i="37"/>
  <c r="J58" i="37"/>
  <c r="J55" i="37"/>
  <c r="J84" i="37"/>
  <c r="J56" i="37"/>
  <c r="J62" i="37"/>
  <c r="J83" i="37"/>
  <c r="J82" i="37"/>
  <c r="J65" i="37"/>
  <c r="J61" i="37"/>
  <c r="J74" i="37"/>
  <c r="J75" i="37"/>
  <c r="J59" i="37"/>
  <c r="J77" i="37"/>
  <c r="J71" i="37"/>
  <c r="J66" i="37"/>
  <c r="J76" i="37"/>
  <c r="J88" i="37"/>
  <c r="J79" i="37"/>
  <c r="J49" i="37"/>
  <c r="F80" i="37"/>
  <c r="F65" i="37"/>
  <c r="F85" i="37"/>
  <c r="F82" i="37"/>
  <c r="F44" i="37"/>
  <c r="F45" i="37"/>
  <c r="F55" i="37"/>
  <c r="F62" i="37"/>
  <c r="F75" i="37"/>
  <c r="F54" i="37"/>
  <c r="F53" i="37"/>
  <c r="F83" i="37"/>
  <c r="F52" i="37"/>
  <c r="F77" i="37"/>
  <c r="F47" i="37"/>
  <c r="F60" i="37"/>
  <c r="F49" i="37"/>
  <c r="F66" i="37"/>
  <c r="F81" i="37"/>
  <c r="F50" i="37"/>
  <c r="F46" i="37"/>
  <c r="F56" i="37"/>
  <c r="F74" i="37"/>
  <c r="F51" i="37"/>
  <c r="F57" i="37"/>
  <c r="F68" i="37"/>
  <c r="F61" i="37"/>
  <c r="F59" i="37"/>
  <c r="F88" i="37"/>
  <c r="F58" i="37"/>
  <c r="F67" i="37"/>
  <c r="F71" i="37"/>
  <c r="F72" i="37"/>
  <c r="F69" i="37"/>
  <c r="F63" i="37"/>
  <c r="F73" i="37"/>
  <c r="F64" i="37"/>
  <c r="F48" i="37"/>
  <c r="F76" i="37"/>
  <c r="F84" i="37"/>
  <c r="F86" i="37"/>
  <c r="F70" i="37"/>
  <c r="F78" i="37"/>
  <c r="F79" i="37"/>
  <c r="F87" i="37"/>
  <c r="F55" i="53"/>
  <c r="G55" i="53" s="1"/>
  <c r="F54" i="53"/>
  <c r="G54" i="53" s="1"/>
  <c r="F56" i="53"/>
  <c r="G56" i="53" s="1"/>
  <c r="G44" i="53"/>
  <c r="G49" i="53" s="1"/>
  <c r="C81" i="47"/>
  <c r="N54" i="37"/>
  <c r="F61" i="38" s="1"/>
  <c r="N84" i="37"/>
  <c r="F24" i="38" s="1"/>
  <c r="N48" i="37"/>
  <c r="F55" i="38" s="1"/>
  <c r="N78" i="37"/>
  <c r="F18" i="38" s="1"/>
  <c r="N47" i="37"/>
  <c r="F54" i="38" s="1"/>
  <c r="N77" i="37"/>
  <c r="F17" i="38" s="1"/>
  <c r="N53" i="37"/>
  <c r="F60" i="38" s="1"/>
  <c r="N83" i="37"/>
  <c r="F23" i="38" s="1"/>
  <c r="N56" i="37"/>
  <c r="F63" i="38" s="1"/>
  <c r="N86" i="37"/>
  <c r="F26" i="38" s="1"/>
  <c r="N49" i="37"/>
  <c r="F56" i="38" s="1"/>
  <c r="N79" i="37"/>
  <c r="F19" i="38" s="1"/>
  <c r="N58" i="37"/>
  <c r="F65" i="38" s="1"/>
  <c r="N88" i="37"/>
  <c r="F28" i="38" s="1"/>
  <c r="N50" i="37"/>
  <c r="F57" i="38" s="1"/>
  <c r="N80" i="37"/>
  <c r="F20" i="38" s="1"/>
  <c r="N51" i="37"/>
  <c r="N81" i="37"/>
  <c r="N52" i="37"/>
  <c r="F59" i="38" s="1"/>
  <c r="N82" i="37"/>
  <c r="F22" i="38" s="1"/>
  <c r="N55" i="37"/>
  <c r="F62" i="38" s="1"/>
  <c r="N85" i="37"/>
  <c r="F25" i="38" s="1"/>
  <c r="N57" i="37"/>
  <c r="F64" i="38" s="1"/>
  <c r="N87" i="37"/>
  <c r="F27" i="38" s="1"/>
  <c r="B61" i="37"/>
  <c r="B76" i="37" s="1"/>
  <c r="B60" i="37"/>
  <c r="B75" i="37" s="1"/>
  <c r="C64" i="37"/>
  <c r="C79" i="37" s="1"/>
  <c r="E19" i="38"/>
  <c r="E40" i="38"/>
  <c r="E56" i="38"/>
  <c r="C73" i="37"/>
  <c r="C88" i="37" s="1"/>
  <c r="E49" i="38"/>
  <c r="E65" i="38"/>
  <c r="E28" i="38"/>
  <c r="B73" i="37"/>
  <c r="B88" i="37" s="1"/>
  <c r="N73" i="37"/>
  <c r="F49" i="38" s="1"/>
  <c r="N67" i="37"/>
  <c r="F43" i="38" s="1"/>
  <c r="B67" i="37"/>
  <c r="B82" i="37" s="1"/>
  <c r="C61" i="37"/>
  <c r="C76" i="37" s="1"/>
  <c r="E16" i="38"/>
  <c r="E37" i="38"/>
  <c r="E53" i="38"/>
  <c r="N70" i="37"/>
  <c r="F46" i="38" s="1"/>
  <c r="B70" i="37"/>
  <c r="B85" i="37" s="1"/>
  <c r="B72" i="37"/>
  <c r="B87" i="37" s="1"/>
  <c r="N72" i="37"/>
  <c r="F48" i="38" s="1"/>
  <c r="N71" i="37"/>
  <c r="F47" i="38" s="1"/>
  <c r="B71" i="37"/>
  <c r="B86" i="37" s="1"/>
  <c r="E24" i="38"/>
  <c r="C69" i="37"/>
  <c r="C84" i="37" s="1"/>
  <c r="E61" i="38"/>
  <c r="E45" i="38"/>
  <c r="E59" i="38"/>
  <c r="E43" i="38"/>
  <c r="E22" i="38"/>
  <c r="C67" i="37"/>
  <c r="C82" i="37" s="1"/>
  <c r="E25" i="38"/>
  <c r="C70" i="37"/>
  <c r="C85" i="37" s="1"/>
  <c r="E62" i="38"/>
  <c r="E46" i="38"/>
  <c r="N69" i="37"/>
  <c r="F45" i="38" s="1"/>
  <c r="B69" i="37"/>
  <c r="B84" i="37" s="1"/>
  <c r="E52" i="38"/>
  <c r="E36" i="38"/>
  <c r="E15" i="38"/>
  <c r="C60" i="37"/>
  <c r="C75" i="37" s="1"/>
  <c r="E17" i="38"/>
  <c r="E38" i="38"/>
  <c r="C62" i="37"/>
  <c r="C77" i="37" s="1"/>
  <c r="E54" i="38"/>
  <c r="N62" i="37"/>
  <c r="F38" i="38" s="1"/>
  <c r="B62" i="37"/>
  <c r="B77" i="37" s="1"/>
  <c r="N66" i="37"/>
  <c r="B66" i="37"/>
  <c r="B81" i="37" s="1"/>
  <c r="E63" i="38"/>
  <c r="C71" i="37"/>
  <c r="C86" i="37" s="1"/>
  <c r="E26" i="38"/>
  <c r="E47" i="38"/>
  <c r="E42" i="38"/>
  <c r="E58" i="38"/>
  <c r="E21" i="38"/>
  <c r="C66" i="37"/>
  <c r="C81" i="37" s="1"/>
  <c r="B65" i="37"/>
  <c r="B80" i="37" s="1"/>
  <c r="N65" i="37"/>
  <c r="F41" i="38" s="1"/>
  <c r="N63" i="37"/>
  <c r="F39" i="38" s="1"/>
  <c r="B63" i="37"/>
  <c r="B78" i="37" s="1"/>
  <c r="C68" i="37"/>
  <c r="C83" i="37" s="1"/>
  <c r="E60" i="38"/>
  <c r="E23" i="38"/>
  <c r="E44" i="38"/>
  <c r="E27" i="38"/>
  <c r="E48" i="38"/>
  <c r="E64" i="38"/>
  <c r="C72" i="37"/>
  <c r="C87" i="37" s="1"/>
  <c r="N64" i="37"/>
  <c r="F40" i="38" s="1"/>
  <c r="B64" i="37"/>
  <c r="B79" i="37" s="1"/>
  <c r="E20" i="38"/>
  <c r="E41" i="38"/>
  <c r="C65" i="37"/>
  <c r="C80" i="37" s="1"/>
  <c r="E57" i="38"/>
  <c r="E39" i="38"/>
  <c r="E55" i="38"/>
  <c r="E18" i="38"/>
  <c r="C63" i="37"/>
  <c r="C78" i="37" s="1"/>
  <c r="N68" i="37"/>
  <c r="F44" i="38" s="1"/>
  <c r="B68" i="37"/>
  <c r="B83" i="37" s="1"/>
  <c r="B44" i="37" l="1"/>
  <c r="B59" i="37" s="1"/>
  <c r="B74" i="37" s="1"/>
  <c r="C91" i="47"/>
  <c r="W10" i="55"/>
  <c r="E51" i="38"/>
  <c r="C59" i="37"/>
  <c r="C74" i="37" s="1"/>
  <c r="E14" i="38"/>
  <c r="I56" i="53"/>
  <c r="F84" i="47" s="1"/>
  <c r="H56" i="53"/>
  <c r="F83" i="47" s="1"/>
  <c r="H54" i="53"/>
  <c r="D83" i="47" s="1"/>
  <c r="I54" i="53"/>
  <c r="D84" i="47" s="1"/>
  <c r="H55" i="53"/>
  <c r="E83" i="47" s="1"/>
  <c r="I55" i="53"/>
  <c r="E84" i="47" s="1"/>
  <c r="E44" i="37"/>
  <c r="J85" i="47" l="1"/>
  <c r="N44" i="37"/>
  <c r="F51" i="38" s="1"/>
  <c r="N59" i="37"/>
  <c r="F35" i="38" s="1"/>
  <c r="C84" i="47"/>
  <c r="I57" i="53"/>
  <c r="H57" i="53"/>
  <c r="E74" i="37"/>
  <c r="E70" i="37"/>
  <c r="E77" i="37"/>
  <c r="E87" i="37"/>
  <c r="E45" i="37"/>
  <c r="N45" i="37" s="1"/>
  <c r="E61" i="37"/>
  <c r="N61" i="37" s="1"/>
  <c r="F37" i="38" s="1"/>
  <c r="E66" i="37"/>
  <c r="F42" i="38" s="1"/>
  <c r="E63" i="37"/>
  <c r="E85" i="37"/>
  <c r="E83" i="37"/>
  <c r="E52" i="37"/>
  <c r="E71" i="37"/>
  <c r="E84" i="37"/>
  <c r="E81" i="37"/>
  <c r="F21" i="38" s="1"/>
  <c r="E48" i="37"/>
  <c r="E51" i="37"/>
  <c r="F58" i="38" s="1"/>
  <c r="E80" i="37"/>
  <c r="E50" i="37"/>
  <c r="E60" i="37"/>
  <c r="E78" i="37"/>
  <c r="E82" i="37"/>
  <c r="E55" i="37"/>
  <c r="E64" i="37"/>
  <c r="E54" i="37"/>
  <c r="E68" i="37"/>
  <c r="E67" i="37"/>
  <c r="E86" i="37"/>
  <c r="E75" i="37"/>
  <c r="E47" i="37"/>
  <c r="E76" i="37"/>
  <c r="F16" i="38" s="1"/>
  <c r="E69" i="37"/>
  <c r="E46" i="37"/>
  <c r="E57" i="37"/>
  <c r="E62" i="37"/>
  <c r="E65" i="37"/>
  <c r="E49" i="37"/>
  <c r="E79" i="37"/>
  <c r="E56" i="37"/>
  <c r="E53" i="37"/>
  <c r="H83" i="47" l="1"/>
  <c r="C83" i="47"/>
  <c r="C85" i="47" s="1"/>
  <c r="N75" i="37"/>
  <c r="F15" i="38" s="1"/>
  <c r="G57" i="53"/>
  <c r="N74" i="37"/>
  <c r="F14" i="38" s="1"/>
  <c r="N46" i="37"/>
  <c r="F53" i="38" s="1"/>
  <c r="N60" i="37"/>
  <c r="F36" i="38" s="1"/>
  <c r="F52" i="38"/>
  <c r="C94" i="4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Brougher, Whitney</author>
    <author>tc={9BC924B4-70A2-4A00-AC0D-011A775B997D}</author>
    <author>tc={85A821C6-0E25-40C0-98AF-C8D874069517}</author>
  </authors>
  <commentList>
    <comment ref="J4" authorId="0" shapeId="0" xr:uid="{B51F6979-A991-48A0-9AFD-199E0137CAE1}">
      <text>
        <r>
          <rPr>
            <b/>
            <sz val="9"/>
            <color indexed="81"/>
            <rFont val="Tahoma"/>
            <family val="2"/>
          </rPr>
          <t>Brougher, Whitney:</t>
        </r>
        <r>
          <rPr>
            <sz val="9"/>
            <color indexed="81"/>
            <rFont val="Tahoma"/>
            <family val="2"/>
          </rPr>
          <t xml:space="preserve">
These are used to reference and adjust (for heating) the theoretical savings.  The heating adjustments uses the relative efficiency of the system compared to non-condensing boiler (used in the theoretical savings)
</t>
        </r>
      </text>
    </comment>
    <comment ref="C22" authorId="1" shapeId="0" xr:uid="{9BC924B4-70A2-4A00-AC0D-011A775B997D}">
      <text>
        <t xml:space="preserve">[Threaded comment]
Your version of Excel allows you to read this threaded comment; however, any edits to it will get removed if the file is opened in a newer version of Excel. Learn more: https://go.microsoft.com/fwlink/?linkid=870924
Comment:
    Remove PTAC, no ventilation. Uvs can do DCV. </t>
      </text>
    </comment>
    <comment ref="C33" authorId="2" shapeId="0" xr:uid="{85A821C6-0E25-40C0-98AF-C8D874069517}">
      <text>
        <t>[Threaded comment]
Your version of Excel allows you to read this threaded comment; however, any edits to it will get removed if the file is opened in a newer version of Excel. Learn more: https://go.microsoft.com/fwlink/?linkid=870924
Comment:
    PTAC Packed terminal AC, CUH- neither have ventilation.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tc={4E000861-C112-4C05-A129-96DAC8173965}</author>
  </authors>
  <commentList>
    <comment ref="B99" authorId="0" shapeId="0" xr:uid="{4E000861-C112-4C05-A129-96DAC8173965}">
      <text>
        <t>[Threaded comment]
Your version of Excel allows you to read this threaded comment; however, any edits to it will get removed if the file is opened in a newer version of Excel. Learn more: https://go.microsoft.com/fwlink/?linkid=870924
Comment:
    PTAC Packed terminal AC, CUH- neither have ventilation.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Brougher, Whitney</author>
  </authors>
  <commentList>
    <comment ref="I56" authorId="0" shapeId="0" xr:uid="{CFD3F8A1-4CDA-40D4-995B-F2242A6FC4BE}">
      <text>
        <r>
          <rPr>
            <b/>
            <sz val="9"/>
            <color indexed="81"/>
            <rFont val="Tahoma"/>
            <family val="2"/>
          </rPr>
          <t>Brougher, Whitney:</t>
        </r>
        <r>
          <rPr>
            <sz val="9"/>
            <color indexed="81"/>
            <rFont val="Tahoma"/>
            <family val="2"/>
          </rPr>
          <t xml:space="preserve">
occupied internal loads include people, lighting, plug loads</t>
        </r>
      </text>
    </comment>
    <comment ref="N56" authorId="0" shapeId="0" xr:uid="{D39501FC-C79C-42E0-8688-0763372B523D}">
      <text>
        <r>
          <rPr>
            <b/>
            <sz val="9"/>
            <color indexed="81"/>
            <rFont val="Tahoma"/>
            <family val="2"/>
          </rPr>
          <t>Brougher, Whitney:</t>
        </r>
        <r>
          <rPr>
            <sz val="9"/>
            <color indexed="81"/>
            <rFont val="Tahoma"/>
            <family val="2"/>
          </rPr>
          <t xml:space="preserve">
unoccupied internal loads - plug loads only (no people or lights)
</t>
        </r>
      </text>
    </comment>
    <comment ref="R56" authorId="0" shapeId="0" xr:uid="{CD42CFED-6214-463C-8F99-E2466C8BB8F1}">
      <text>
        <r>
          <rPr>
            <b/>
            <sz val="9"/>
            <color indexed="81"/>
            <rFont val="Tahoma"/>
            <family val="2"/>
          </rPr>
          <t>Brougher, Whitney:</t>
        </r>
        <r>
          <rPr>
            <sz val="9"/>
            <color indexed="81"/>
            <rFont val="Tahoma"/>
            <family val="2"/>
          </rPr>
          <t xml:space="preserve">
unoccupied internal loads - plug loads only (no people or lights)
</t>
        </r>
      </text>
    </comment>
    <comment ref="S56" authorId="0" shapeId="0" xr:uid="{92A729CA-FA8E-48F0-AE0A-92EA8688EFA7}">
      <text>
        <r>
          <rPr>
            <b/>
            <sz val="9"/>
            <color indexed="81"/>
            <rFont val="Tahoma"/>
            <family val="2"/>
          </rPr>
          <t>Brougher, Whitney:</t>
        </r>
        <r>
          <rPr>
            <sz val="9"/>
            <color indexed="81"/>
            <rFont val="Tahoma"/>
            <family val="2"/>
          </rPr>
          <t xml:space="preserve">
Occupied same as basecase
</t>
        </r>
      </text>
    </comment>
  </commentList>
</comments>
</file>

<file path=xl/sharedStrings.xml><?xml version="1.0" encoding="utf-8"?>
<sst xmlns="http://schemas.openxmlformats.org/spreadsheetml/2006/main" count="3542" uniqueCount="1579">
  <si>
    <t xml:space="preserve">Prescriptive BMS Calculator </t>
  </si>
  <si>
    <t>Purpose</t>
  </si>
  <si>
    <r>
      <t xml:space="preserve">This tool was developed for the implementation of the Prescriptive BMS program.  Actual customer energy savings will vary depending on existing control strategies, HVAC equipment condition, etc.  This tool is intended to estimate incentives as well as average savings for projects with similar equipment, operating schedules, and implemented sequences, not site specific savings estimates.  </t>
    </r>
    <r>
      <rPr>
        <b/>
        <sz val="12"/>
        <color rgb="FFFF0000"/>
        <rFont val="Calibri"/>
        <family val="2"/>
        <scheme val="minor"/>
      </rPr>
      <t xml:space="preserve">This tool should NOT be used for any project reported through a custom pathway. </t>
    </r>
    <r>
      <rPr>
        <sz val="11"/>
        <color theme="1"/>
        <rFont val="Calibri"/>
        <family val="2"/>
        <scheme val="minor"/>
      </rPr>
      <t xml:space="preserve">
</t>
    </r>
  </si>
  <si>
    <t>Instructions and Explanations</t>
  </si>
  <si>
    <t xml:space="preserve">Users must provide required information as described below.  </t>
  </si>
  <si>
    <t>Tab</t>
  </si>
  <si>
    <t>Section</t>
  </si>
  <si>
    <t>Purpose and instruction</t>
  </si>
  <si>
    <t>Program Information</t>
  </si>
  <si>
    <t>Terminology table</t>
  </si>
  <si>
    <t>Definitions and explanation of program terminology, incentives, and eligibility.</t>
  </si>
  <si>
    <t>Sequence Eligibility</t>
  </si>
  <si>
    <t>Table</t>
  </si>
  <si>
    <t>Full detail for sequence eligibility  by equipment type</t>
  </si>
  <si>
    <t>User Inputs and Savings</t>
  </si>
  <si>
    <t>Building Energy Use Intensity</t>
  </si>
  <si>
    <r>
      <t xml:space="preserve">Provide basic information about the building used to estimate building Energy Use Intensity (EUI).  </t>
    </r>
    <r>
      <rPr>
        <b/>
        <sz val="11"/>
        <color rgb="FFFF0000"/>
        <rFont val="Calibri"/>
        <family val="2"/>
        <scheme val="minor"/>
      </rPr>
      <t xml:space="preserve">Building energy consumption is required for savings results. </t>
    </r>
    <r>
      <rPr>
        <sz val="11"/>
        <color theme="1"/>
        <rFont val="Calibri"/>
        <family val="2"/>
        <scheme val="minor"/>
      </rPr>
      <t xml:space="preserve"> Benchmark EUI values are provided as a check on provided building area and consumption.</t>
    </r>
  </si>
  <si>
    <t>Control System Information</t>
  </si>
  <si>
    <t xml:space="preserve">Provide information about the proposed control system installation. Includes proposed system type, installation costs, and interest in Active Demand Response.  </t>
  </si>
  <si>
    <t>Affected Areas</t>
  </si>
  <si>
    <r>
      <t xml:space="preserve">Tool allows for 5 distinct areas of the building.  </t>
    </r>
    <r>
      <rPr>
        <b/>
        <sz val="11"/>
        <color rgb="FFFF0000"/>
        <rFont val="Calibri"/>
        <family val="2"/>
        <scheme val="minor"/>
      </rPr>
      <t>The building areas must not overlap.</t>
    </r>
    <r>
      <rPr>
        <b/>
        <sz val="11"/>
        <color theme="1"/>
        <rFont val="Calibri"/>
        <family val="2"/>
        <scheme val="minor"/>
      </rPr>
      <t xml:space="preserve">  </t>
    </r>
    <r>
      <rPr>
        <sz val="11"/>
        <color theme="1"/>
        <rFont val="Calibri"/>
        <family val="2"/>
        <scheme val="minor"/>
      </rPr>
      <t>Also collects information on the project area occupancy schedule, size, and project type.</t>
    </r>
  </si>
  <si>
    <t>Controlled HVAC Equipment</t>
  </si>
  <si>
    <t xml:space="preserve">Equipment serving project area.  </t>
  </si>
  <si>
    <t>Sequences of Operation</t>
  </si>
  <si>
    <t>Enter "1" when sequence is intended to be implemented in the area.  Greyed out sequences will not provide incentives or savings based on provided HVAC system information</t>
  </si>
  <si>
    <t xml:space="preserve">Additional Optimization (Subscription Based System Control Only) </t>
  </si>
  <si>
    <t xml:space="preserve">Area to request consideration for additional optimization and energy saving sequences provided by subscription based products.  Consideration for additional sequences are subject to Massachusetts Technology Assessment Committee (MTAC) review. </t>
  </si>
  <si>
    <t>Results - Energy Savings</t>
  </si>
  <si>
    <t>Electric energy, electric demand, and fossil fuel savings based on provided project and site information. Savings are provided separately  for each project type.</t>
  </si>
  <si>
    <t>Results - Incentives</t>
  </si>
  <si>
    <t xml:space="preserve">Summary of incentives by total, project type, and fuel type. </t>
  </si>
  <si>
    <t>Results - Other Results</t>
  </si>
  <si>
    <t xml:space="preserve">Summary of project impacts on building, including area controlled, percent building energy savings, and estimated consumption for controlled building area. </t>
  </si>
  <si>
    <t>Feedback on Missing Results</t>
  </si>
  <si>
    <t xml:space="preserve">Table summary of any data entry issues that are resulting in missing or hidden project results.  </t>
  </si>
  <si>
    <t>PA Only - Pre-Inspection Checklist</t>
  </si>
  <si>
    <t>Form</t>
  </si>
  <si>
    <t>PA Tab - Shared PA resource for documenting project pre-inspections.  May be printed.</t>
  </si>
  <si>
    <t>PA Only - MRD Equipment List</t>
  </si>
  <si>
    <t>Equipment Description and Tags</t>
  </si>
  <si>
    <t xml:space="preserve">Enter groups of similar equipment that are controlled with the same sequences.  This is used to populate the project MRD.  Unique equipment or equipment with different sequences  applied should have their own line item.  </t>
  </si>
  <si>
    <t>Enter "1" when sequence is enabled on listed equipment.  Greyed out sequences will not provide incentives or savings based on provided HVAC system information</t>
  </si>
  <si>
    <t>PA Only - Project MRD</t>
  </si>
  <si>
    <t xml:space="preserve">Minimum Requirements Document (MRD) </t>
  </si>
  <si>
    <t xml:space="preserve">Autofilled based on MRD Equipment List and User Inputs and Savings information.  The MRD lists required trend data and documentation for project close out based on the sequence(s) implemented.  </t>
  </si>
  <si>
    <t>EUI Benchmark</t>
  </si>
  <si>
    <t>Project EUI Feedback</t>
  </si>
  <si>
    <t xml:space="preserve">Comparison of project EUI values to benchmark EUI values.  The comparison is for QC purposes only.  Projects outside of expected range can review entered data for accuracy.  </t>
  </si>
  <si>
    <t>Benchmark EUI</t>
  </si>
  <si>
    <t xml:space="preserve">Table developed from CBECS and National Grid customer information.  For informational purposes only to provide check against tool calculated EUI data.  </t>
  </si>
  <si>
    <t>Project Notes - Optional</t>
  </si>
  <si>
    <t>Project Notes</t>
  </si>
  <si>
    <t xml:space="preserve">Space for project notes and explanations.  </t>
  </si>
  <si>
    <t>Version Information</t>
  </si>
  <si>
    <t>Version Name</t>
  </si>
  <si>
    <t>2024 Prescriptive BMS Calculator</t>
  </si>
  <si>
    <t>Version Number</t>
  </si>
  <si>
    <t>Version Date</t>
  </si>
  <si>
    <t>Last Revised by</t>
  </si>
  <si>
    <t>Whitney Brougher, National Grid</t>
  </si>
  <si>
    <t>Revision History</t>
  </si>
  <si>
    <t xml:space="preserve">Significant tool updates from 2023 Prescriptive BMS Calculator:
-  Inclusion of subscription based control product incentives
- Expanded building area eligibility
- Incentive cap at 60% of project Costs
- Expanded list of equipment eligibility, including addition of terminal units
- Allow equipment selection in each independent project area
</t>
  </si>
  <si>
    <t>Prescriptive BMS Calculator Version</t>
  </si>
  <si>
    <t>Tool Version</t>
  </si>
  <si>
    <t>2024 V1.0</t>
  </si>
  <si>
    <t>Tool Revision Date</t>
  </si>
  <si>
    <t>Last Updated by:</t>
  </si>
  <si>
    <t>Whitney Brougher, National Grid
Lisa Zagura, Eversource</t>
  </si>
  <si>
    <t>Category</t>
  </si>
  <si>
    <t>Topic</t>
  </si>
  <si>
    <t>Description</t>
  </si>
  <si>
    <t>Example/Explanation</t>
  </si>
  <si>
    <t>Last Updated</t>
  </si>
  <si>
    <t>Eligibility</t>
  </si>
  <si>
    <t>Eligible and Ineligible Buildings and Systems</t>
  </si>
  <si>
    <t>Eligible buildings must meet the following:
- Commercial buildings and meters
- Total building area 5,000 - 300,000 sqft
- Comfort space conditioning loads
- Electric, oil, propane, and/or gas used for space conditioning
- Controlled HVAC systems must be existing.  New equipment is not eligible for control savings nor incentives
The following are not eligible under the Prescriptive BMS program:
-  BMS as part of new construction or major renovation projects
- Implementation of centralized control on new equipment</t>
  </si>
  <si>
    <t>Projects that do not meet this criteria may be eligible for custom incentives.</t>
  </si>
  <si>
    <t>Eligible and Ineligible Control Systems and Products</t>
  </si>
  <si>
    <r>
      <t xml:space="preserve">The Prescriptive BMS program includes control systems with energy saving sequences maintained remotely or maintained on site.  Building control systems are required to monitor and control all building parameters (read-write) associated with the sequences of operation from the singular central location.   
To be eligible, </t>
    </r>
    <r>
      <rPr>
        <i/>
        <sz val="10"/>
        <rFont val="Arial"/>
        <family val="2"/>
      </rPr>
      <t>any</t>
    </r>
    <r>
      <rPr>
        <sz val="10"/>
        <rFont val="Arial"/>
        <family val="2"/>
      </rPr>
      <t xml:space="preserve"> proposed control system must meet all of the following criteria:
- Control eligible HVAC equipment
- Implement or optimize at least one eligible energy efficiency sequence and provide information outlining the parameters and components involved (including but not limited to damper signals, temperature set points, pressure set points, etc.)
- Must show and be able to adjust building parameters associated with energy sequences comprehensively in one location
- Must be able to meet trend data requirements as outlined in the Minimum Requirements Document (MRD)
- Implement or optimize sequences of operation (SOO) on existing building equipment 
Systems may include other features, such as FDD, dashboards to view computed data, continuous optimization, machine learning, etc., but must meet the above minimum criteria to be eligible.  </t>
    </r>
  </si>
  <si>
    <t xml:space="preserve">Examples of eligible projects:
- Installation of control panels and components to implement eligible sequences of operation on existing equipment that can be viewed and controlled from a central location
- Installation of system based controls that allow for interoperability between systems and use AI to optimize system performance through a subscription based system that monitors and controls sequence performance from a central location
Examples of ineligible projects:
- Installation of controls on new equipment 
- Installation of controls on standalone equipment that is not capable of centralized/building level monitoring or control 
- Installation or replacement of a server, laptop, or firmware, etc. without optimizing or implementing eligible sequences of operation
- Installation of thermostats that are centrally monitored and allow remote setpoint adjustment, but do not provide other energy savings sequences (these projects may be eligible for thermostat rebates)
- Systems that do not centrally monitor and collect building trend data for export in Excel format to perform the project verification as required by the MRD
</t>
  </si>
  <si>
    <t>Project Type: Upgrade of Existing BMS</t>
  </si>
  <si>
    <t xml:space="preserve">The Prescriptive BMS program will provide incentives for upgrades to existing BMS.  Upgrades may include adding new energy savings sequences of operation or optimization of existing sequences of operation.  
</t>
  </si>
  <si>
    <t xml:space="preserve">Example 1: First time addition of DCV in school gymnasium on an existing air handler
Example 2: Bringing two existing RTUs currently operating with standalone control under an existing central BMS and the customer will be adding DCV control.  If existing stand along control includes schedule and OSS, customer receives BMS incentives for schedule and setbacks, OSS, and DCV control. 
Example 3: Changing the constant discharge pressure setpoint of the lobby air handlers to one that modulates dependent on system demand. 
Example 4: Revisit and optimize existing energy sequences as part of a firmware update project. </t>
  </si>
  <si>
    <t>Project Type: Installation of New BMS</t>
  </si>
  <si>
    <t xml:space="preserve">The Prescriptive BMS program will provide incentives for installations of new traditional building management and control systems.  Projects may include first time installations or replacements of legacy systems.
To qualify for System Replacement incentives:
-  Front end software, building supervisory software, or field panel hardware are demonstrated (via pre-inspection) to be older than 15 years. 
- The installation of the building control must be on existing building equipment. Incentives for energy savings can be attributed to the installation of control for new building equipment. </t>
  </si>
  <si>
    <t xml:space="preserve">Example 1: Building currently using thermostats for standalone air handler scheduling and setback and standalone third party device for hot water reset on boilers. Customer would like to install a new centralized BMS.  The customer would like to receive incentives for schedule and setbacks, optimal start-stop (OSS), and hot water reset when BMS is installed on existing equipment.
Example 2:  Customer shares their pneumatic system with controllers 15 years old no longer can carry out hot water reset nor basic scheduling on some of the major HVAC equipment. After reviewing of drawings and field panel dates of manufacture, the system is determined to be 20 years old. Customer is eligible for incentives.
Example of INELIGIBLE project: Customer has an 8 year old system that is operating poorly.  Schedules have been over written.  Customer is not eligible for Installation of New BMS incentives but should consider Upgrade of Existing BMS incentives to improve their existing system. </t>
  </si>
  <si>
    <t>Project Type: Subscription Based System Control</t>
  </si>
  <si>
    <t>The Prescriptive BMS program will provide incentives for installation of subscription system based control.  These system control products must meet the criteria listed under "Eligible Control Systems and Products".  Subscription systems require annual fees to access the full suite of energy saving sequences of operation.  
Subscription based control products may include hardware installations that will maintain basic control on site even when "offline".
Product must be reviewed by the Massachusetts Technology Assessment Committee (MTAC) team prior to recieving project incentives.</t>
  </si>
  <si>
    <t>The following will not qualify for subscription based system control incentives on their own:
- Control of standalone of equipment
- Age of workstation operating system software (Windows, etc.)
- Age of communication/translation cards to enable new sequences at existing standalone devices to achieve eligible sequences of operation which otherwise had not been implemented
- Issues or Age of software drivers that interface between factory controllers and an existing front-end software to achieve eligible energy savings sequences
- Technology or Control products that have not been reviewed by MTAC
- Though building Control products may include subscription fees for access to additional features that do not directly Control equipment, such as fault detection and diagnostics (FDD), dashboard access, service contract fees or updates, etc., these will not be considered subscription-based system Control projects.</t>
  </si>
  <si>
    <t>HVAC Equipment</t>
  </si>
  <si>
    <t xml:space="preserve">The Prescriptive BMS program provides incentives for the following major equipment:
- Boilers
- Furnaces
- Gas fired heat in AHU
- Electric Resistance in AHU
- Electric Baseboards
- Air Source Heat Pumps
- Variable Refrigerant Flow (VRF) systems
- Water Loop Heat Pumps
- Chillers
- Central DX cooling
- Control of terminal units without control of major equipment
The following are NOT eligible under the Prescriptive BMS program:
-  Controlling process or lab loads
-  Control of new equipment
</t>
  </si>
  <si>
    <t>Project equipment not included in the prescriptive BMS program may be eligible for custom incentives.</t>
  </si>
  <si>
    <t>The Prescriptive BMS program provides incentives for the following Sequences:
- System Schedule and Unoccupied Setbacks
- Optimal Start/Stop
- Reset Supply Air Pressure
- Reset Boiler Water Temperature
- Demand Control Ventilation
- Economizer Control (Dry Bulb or Dual Enthalpy) 
- Reset Supply Air Discharge Temperature 
- Reset Chilled Water Temperature
- Reset Condenser Water Temperature</t>
  </si>
  <si>
    <t xml:space="preserve">Sequence eligibility for a particular project will depend on building occupancy and major HVAC equipment controlled.  See Mass Save prescriptive BMS application form for more detail.
Projects including sequences outside of this list may apply for custom project incentives. </t>
  </si>
  <si>
    <t>Additional Optimization Sequences (Subscription based controls only)</t>
  </si>
  <si>
    <t xml:space="preserve">Acknowledging that some subscription based products may implement a narrow set of eligible sequences, but may offer additional energy saving features and sequences outside of the current list, the Sponsors of Mass Save are making a general category available for cooling, ventilation, and heating optimization beyond the eligible sequences listed.  
Use of these additional categories is subject to review by MTAC. Please work with MTAC to provide an explanation of how the optimization features work and to save energy.  
If approved, each eligible and additional general category sequence will be eligible for incentive.  </t>
  </si>
  <si>
    <t xml:space="preserve">Example of eligible use: A product provides scheduling and optimal start/stop for RTUs, making them eligible for 4 incentive sequences (see Counting Eligible Sequences explanation below).  In addition, the software will optimize RTU staging, reduce ventilation fan use, and reduce overheating.  After MTAC review, the project is approved for an additional 2 sequences. The product provides centralized monitoring and control of the associated system points and allows for centralized trend data collection. 
Example of ineligible use: A product provides scheduling and optimal start/stop for RTUs, but does not provide the necessary system trend information nor provides a central location to view and adjust sequence parameters.  In addition, the product was not reviewed by MTAC. </t>
  </si>
  <si>
    <t>Building Control and Active Demand Response (ADR) Enrollment</t>
  </si>
  <si>
    <t>The Sponsors of Mass Save will provide an additional incentive of $3k for building control systems that include temporary curtailment sequences as part of their project and enroll in the ConnectedSolutions program for the first time.  
To be eligible for this additional incentive:
- Project meets all Prescriptive BMS program criteria
- Building control system project must include the implementation or optimization of at least two eligible electric energy savings sequences of operation
- Facility has not previously enrolled in ConnectedSolutions
- Final project documentation includes proof of ConnectedSolutions enrollment from the Curtailment Service Provider (CSP)</t>
  </si>
  <si>
    <t xml:space="preserve">The Curtailment Service Provider (CSP) will help make your building Active Demand Response (ADR) ready by identifying what equipment can respond to a Demand Response event and testing the system after installment so you are ready for enrollment and participation. The following list are Curtailment Service Providers serving Massachusetts: 
CPOWER: 	Call 1-844-276-9371
Enel-X:      	Call 1-617-692-2514
IPKeys:     	Call 1-855-475-3970 
Voltus:       	Call    415-463-4236 
 </t>
  </si>
  <si>
    <t>Incentives</t>
  </si>
  <si>
    <t>Incentive Rate: $0.05 / sequence count / sqft</t>
  </si>
  <si>
    <t>Add On or Optimization of Existing BMS</t>
  </si>
  <si>
    <t>Incentive Rate: $0.10 / sequence count / sqft</t>
  </si>
  <si>
    <t xml:space="preserve"> Installation or Replacement of New BMS</t>
  </si>
  <si>
    <t>Incentive Rate First Year Scheduling: $0.10 / sqft
Incentive Rate: $0.01 / sequence count / sqft / prepaid year</t>
  </si>
  <si>
    <t>First Year scheduling rate available when project includes hardware installation that will provide customer basic "offline" control of equipment.</t>
  </si>
  <si>
    <t>Counting Eligible Sequences for Incentives</t>
  </si>
  <si>
    <t xml:space="preserve">The sequence count will consider what fuel savings result from implemented sequences.  Sequences that produce both gas and electric savings will provide two sequence counts, whereas a sequence resulting in a single fuel savings will provide one sequence count.  Four eligible sequences may produce gas and electric savings, depending on selected equipment: Scheduling and Unoccupied Setbacks, Optimal Start/Stop, Demand Control Ventilation, and Supply Air Discharge Temperature Reset.  The maximum sequence count is 13.
Subscription Based System Control may also be eligible for one or more of the Additional Optimization sequences.
</t>
  </si>
  <si>
    <t>Calculating Incentives - Standard BMS Project Types</t>
  </si>
  <si>
    <t xml:space="preserve">Incentives are calculated for each building Affected Area as provided on the User Inputs and Savings tab. Incentives are calculated discretely based on the affected area entered, eligible sequence count, and the Project Type's incentive tier.  </t>
  </si>
  <si>
    <t xml:space="preserve">(Area Incentives) = (Affected Area) * (Sequence Count) * (Incentive Rate Based on Project Type)   </t>
  </si>
  <si>
    <t>Calculating Incentives - Subscription Based Control System</t>
  </si>
  <si>
    <t xml:space="preserve">Incentives are calculated for each building Affected Area as provided on the User Inputs and Savings tab. Incentives are calculated discretely based on the affected area entered, eligible sequence count, and number of prepaid years of subscription. First year installations with a hardware component will be eligible for increased incentives. </t>
  </si>
  <si>
    <t>First year:
Area Incentives = (Affected Area) * (Scheduling @ $0.10 / sqft) + (Affected Area) * (Sequence Count @ $0.01 / sqft / SOO) * (# Pre-paid years of subscription)
Subscription Renewals:
Area Incentives = (Affected Area) * (Sequence Count @ $0.01 / sqft / SOO) * (# Pre-paid years of subscription)</t>
  </si>
  <si>
    <t>Project Incentive Cap</t>
  </si>
  <si>
    <t>Energy efficiency project incentives are capped at 60% of the total project costs.  The Active Demand Response enrollment incentive is not included in the project cap.</t>
  </si>
  <si>
    <t>Example: A new BMS installation is invoiced at $100,000 and includes the implementation of 5 SOO over a 150,000 sqft project area. 
- Incentive cap = ($100,000) x (60%) = $60,000
- Calculated project incentive = (150,000 sqft) x (5 SOO) x ($0.10 / SOO / sqft) = $75,000
- The calculated project incentive exceeds the incentive cap
- Eligible incentive = project incentive cap = $60,000
If the project includes Active Demand Response enrollment, then
- Eligible incentive = $63,000</t>
  </si>
  <si>
    <t>Incentive Allocations</t>
  </si>
  <si>
    <t xml:space="preserve">Total project incentives are allocated between gas and electric Sponsors of Mass Save relative to applicable energy savings.  Customer must apply to both Sponsors to be eligible for the full incentive.  The incentives are allocated based on expected project benefits, similar to the Mass Save Custom Screening Tool. </t>
  </si>
  <si>
    <t xml:space="preserve">It is extremely important that both your gas AND electric Sponsors of Mass Save receive the application, calculator and other supporting documentation to be eligible for the gas and electric incentives if applicable. </t>
  </si>
  <si>
    <t>Building Control and Active Demand Response Enrollment Incentive</t>
  </si>
  <si>
    <t>$3,000 for eligible projects where customer:
- implements at least two (2) electric energy savings SOO
- implements temporary curtailment sequences
- enrolls in the ConnectedSolutions active demand response program</t>
  </si>
  <si>
    <t xml:space="preserve">Applied to first time building ADR enrollment as confirmed by CSP. Amount does not applied to 60% project incentive cap. </t>
  </si>
  <si>
    <t>Terminology</t>
  </si>
  <si>
    <t>Building Management System (BMS) or building control system</t>
  </si>
  <si>
    <t>The Mass Save Prescriptive BMS program will provide incentives for qualified projects when the building control system includes the following: 
-Front end or building supervisory controller software which will support specified Sequence(s) of Operation (SOO) that will produce energy savings and allow for viewing and adjustment of project sequence parameters (setpoints, temperatures, pressures, CO2 concentrations, valve signals, damper signals, etc.). 
-BMS and building control projects will include installation or optimization of control panels or control points related to enacting eligible energy saving sequences of operation. 
-All BMS and building control projects will require trended data to verify the operation of sequences per the Minimum Requirements Document (MRD).  
-Though these building control products may include subscription fees for access to additional features that do not directly control equipment, such as fault detection and diagnostics (FDD), dashboard access, service contract fees or updates, etc. these will not be considered subscription based system control projects.</t>
  </si>
  <si>
    <t>The building system control must control building systems. Equipment that is operating as standalone or being monitored independent of a central system are not for the purposes of this application controlling the building. 
The following control systems are not eligible for the Mass Save Prescriptive BMS program: 
-Front end or building supervisory controller software upgrades that do not add or optimize any new eligible control sequences of operation (SOO). 
-Front end or supervisory controllers that provide read only access to system points, not allowing for adjustments in sequence parameters.  
-Server, software, or firmware upgrades that do not include the addition or optimization of eligible control sequences of operation. 
-Thermostats with remote set point adjustment and/or control via remote application. These ineligible systems may have an outdoor air temperature algorithm in the control logic to operate heating and cooling systems</t>
  </si>
  <si>
    <t>Subscription Based System Control</t>
  </si>
  <si>
    <t xml:space="preserve">Subscription Based System Control incentives support first time installations and annual subscription fees for the implementation of building system controls in existing buildings on existing equipment that meet program expectations for hardware and software as described in the BMS or building control Terminology above.   
To qualify for Subscription Based System Control incentives: 
There is no existing BMS serving the existing equipment that is less than 15 years old.  Customer may have been using thermostats or standalone devices to control HVAC equipment prior to centralizing equipment to the subscription-based system controls.  
Subscription based system control products must be reviewed by the Massachusetts Technology Assessment Committee (MTAC) to be eligible for the prescriptive BMS incentive6 
MTAC will determine the eligible sequences of operation the subscription-based control product is appropriate for and share with the manufacturer, customer, and technical review team. </t>
  </si>
  <si>
    <t xml:space="preserve">The following scenarios will not qualify a project for subscription-based control product incentives on their own: 
-Control of standalone of equipment 
-Age of workstation operating system software (Windows, etc.) 
-Age of communication/translation cards to enable new sequences at existing standalone devices to achieve eligible sequences of operation which otherwise had not been implemented7 
-Issues or age of software drivers that interface between factory controllers and an existing front-end software to achieve eligible energy savings sequences
-Technology or control products that have not been reviewed by MTAC </t>
  </si>
  <si>
    <t>Building Supervisory Controller</t>
  </si>
  <si>
    <t xml:space="preserve">Web-based control interfaces and cloud-based computing applications through which BMS are accessed and functionality is enabled. The traditional front end has been replaced with servers running supervisory and application software. The software has been designed to provide server-level functions for a network of other servers and other field devices. The hardware-software combination serves real-time information to standard web-browser clients and performs essential functions such as analytics, centralized data logging/trending, archiving to external databases, alarming.  When a manufacturer moves from one type of hardware, there is typically a software upgrade needed, and the manufacturer decides what the backward compatibility of the new software will be. </t>
  </si>
  <si>
    <t>Front End</t>
  </si>
  <si>
    <t xml:space="preserve">A front end consists of a BMS dedicated computer and monitor. This computer is where the BMS vendor will place the operating and programming software as well as other related application tools and trend archiving software. The important applications on the front end are programming; graphics development and display; global information and/or sharing; alarming; trend log archiving; and other typical computer applications. </t>
  </si>
  <si>
    <t xml:space="preserve">The front end software described here are considered for Replacement incentive eligibility if demonstrated to be older than 15 years old. </t>
  </si>
  <si>
    <t>Field Panel</t>
  </si>
  <si>
    <t>Field panels are available with various levels of functionality. Generally speaking they have direct input and output capabilities and usually have some level of supervisory role. Generally, the advantage of using a field panel is the ability to handle more input and output capacity, and to handle communication up and down the system network architecture. The field panels often have some level of memory and serve as a network buffer for communication traffic.</t>
  </si>
  <si>
    <t xml:space="preserve">The field panel described here are considered for Replacement incentive eligibility when the majority of building field panels are demonstrated to be older than 15 years old. </t>
  </si>
  <si>
    <t>Terminal Device and Application Specific Controllers</t>
  </si>
  <si>
    <t>These controllers are limited in the number of inputs and outputs, and in the case of application specific controllers, they may have a set of pre-programmed SOO’s for which only setpoints can be changed, not the programming. They also have limited communication and storage memory.
One type of device is known as Original Equipment Manufacturer (OEM) packaged controls. These controllers are supplied by equipment manufacturers and are designed to be standalone controls. These controllers have application specific programming when shipped from the factory and usually can only have certain SOO’s enabled and/or adjusted as well as setpoint adjustments. These controllers usually can take a few inputs and supply a limited number of outputs. They usually can be provided with BACNET communication cards which have limited functionality enabled, however this is typically added at a cost.</t>
  </si>
  <si>
    <t xml:space="preserve">The terminal device and application specific controllers are not included when considering Replacement incentive eligibility. </t>
  </si>
  <si>
    <t>System Schedule and Unoccupied Setbacks</t>
  </si>
  <si>
    <t xml:space="preserve">Adjust scheduling on HVAC systems such as cooling tower fans, rooftop units, air handler fans, exhaust fans and electric resistance heating to align the operational hours with the occupancy of the space they serve.  Implement temperature setbacks during unoccupied periods. </t>
  </si>
  <si>
    <t xml:space="preserve"> Sequence is not eligible for incentives in spaces occupied 24/7.  </t>
  </si>
  <si>
    <t>Optimal Start/Stop</t>
  </si>
  <si>
    <t>Programming the units to anticipate the heating or cooling needs of a space by starting equipment early enough to reach setpoint just at the beginning of scheduled occupancy, typically morning warm up/cool down. This is often done with air handling unit dampers closed.</t>
  </si>
  <si>
    <t xml:space="preserve"> Sequence is not eligible for incentives in spaces occupied 24/7 or on secondary heating systems. </t>
  </si>
  <si>
    <t>Reset Supply Air Pressure</t>
  </si>
  <si>
    <t xml:space="preserve">Minimizes fan energy in VAV systems because the control system acknowledges when VAV box dampers are either partially closed or partially open and adjusts the static pressure based on this demand for conditioned air. </t>
  </si>
  <si>
    <t> </t>
  </si>
  <si>
    <t>Reset Boiler Water Temperature</t>
  </si>
  <si>
    <t xml:space="preserve">Implement boiler reset controller to ensure automatic control of boiler water temperature based on outdoor air temperature, return water temperature, or demand for heating. Includes implementing HW OAT lockout.  </t>
  </si>
  <si>
    <t xml:space="preserve"> Sequence is not eligible for incentives on secondary heating systems. </t>
  </si>
  <si>
    <t>Demand Control Ventilation</t>
  </si>
  <si>
    <t xml:space="preserve">Maintain reduced amount of outdoor air circulating through air handling units unless a minimal threshold of CO2 is reached. The outdoor air increase will be proportional to the CO2 ppm in the space(s).  In controlling a unit in this fashion, less of the outside air is then using energy to be conditioned.                                                                                                                                                                                                                                                                                                                                    </t>
  </si>
  <si>
    <t xml:space="preserve">Economizer Control (Dry Bulb or Dual Enthalpy) </t>
  </si>
  <si>
    <t xml:space="preserve">Using a comparison of the return and outdoor air dry bulb temps or enthalpy a determination of when cool outside air can be used to reduce the need for DX or chilled water cooling. </t>
  </si>
  <si>
    <t xml:space="preserve">Reset Supply Air Discharge Temperature </t>
  </si>
  <si>
    <t xml:space="preserve">This measure reduces boiler energy in moderately cool weather by decreasing the discharge air temperature and increasing airflow to meet the room setpoint requirements; and reduces chiller energy in moderately warm weather by increasing discharge air temperature and increasing airflow to meet the room setpoint requirements. </t>
  </si>
  <si>
    <t>Reset Chilled Water Temperature</t>
  </si>
  <si>
    <t xml:space="preserve">Implement the optimal operation of the controls adjusting the chilled water temperature to increase when outdoor air conditions allow and the building is experiencing a reduced demand for cooling. This type of sequence could involve a chilled water outside air temperature lockout. </t>
  </si>
  <si>
    <t>Reset Condenser Water Temperature</t>
  </si>
  <si>
    <t xml:space="preserve">Condenser water reset is a control strategy that will optimize chiller performance. This strategy is only applicable to water-cooled chillers. The condenser water setpoint or the temperature of the water leaving the cooling tower can be controlled based on building loads, outdoor air wet-bulb temperature, or another appropriate control variable. </t>
  </si>
  <si>
    <t>Primary Building Activity (PBA)</t>
  </si>
  <si>
    <t xml:space="preserve">Primary business, commerce, or function of the building.  The PBA is used for EUI benchmarking and incentive allocation.  </t>
  </si>
  <si>
    <t>https://www.eia.gov/consumption/commercial/building-type-definitions.php#Service</t>
  </si>
  <si>
    <t>Eligible Equipment and Sequences of Operation</t>
  </si>
  <si>
    <t xml:space="preserve">This tab is a reference to understand what sequences are available for eligible sequences.  </t>
  </si>
  <si>
    <t>Equipment</t>
  </si>
  <si>
    <t>Eligible Sequences of Operation</t>
  </si>
  <si>
    <t>Equipment Category</t>
  </si>
  <si>
    <t>Type</t>
  </si>
  <si>
    <t>System Schedules and Unoccupied Setbacks [1]</t>
  </si>
  <si>
    <t>Optimal Start / Stop [1]</t>
  </si>
  <si>
    <t>Reset Static Pressure</t>
  </si>
  <si>
    <t>Demand Control Ventilation [2]</t>
  </si>
  <si>
    <t>Economizer Control - Dry Bulb or Dual Enthalpy</t>
  </si>
  <si>
    <t>Reset Supply Air Discharge Temperature [2]</t>
  </si>
  <si>
    <t>Primary Central Heating System</t>
  </si>
  <si>
    <t>Steam Boiler</t>
  </si>
  <si>
    <t>Non-Condensing Boiler</t>
  </si>
  <si>
    <t>Condensing Boiler</t>
  </si>
  <si>
    <t>Furnace or Gas Heat in Air Handler</t>
  </si>
  <si>
    <t>Electric Resistance in Air Handler</t>
  </si>
  <si>
    <t>Electric Resistance in Terminal Units</t>
  </si>
  <si>
    <t>Direct Expansion (ASHP, VRF, GSHP, AWHP) [3]</t>
  </si>
  <si>
    <t>Primary Central Cooling System</t>
  </si>
  <si>
    <t>Direct Expansion (AC, ASHP, VRF, GSHP, AWHP)</t>
  </si>
  <si>
    <t>Chiller</t>
  </si>
  <si>
    <t>Primary Ventilation Type</t>
  </si>
  <si>
    <t>CV Air Handler</t>
  </si>
  <si>
    <t>VAV Air Handler</t>
  </si>
  <si>
    <t>CV DOAS</t>
  </si>
  <si>
    <t>VAV DOAS</t>
  </si>
  <si>
    <t>Decentralized Ventilation (Unit ventilator, Fan Coil Units)</t>
  </si>
  <si>
    <t>Secondary Heating System to Heat Pump System</t>
  </si>
  <si>
    <t>Electric Baseboard/Cabinet Heater</t>
  </si>
  <si>
    <t>Terminal Unit Type</t>
  </si>
  <si>
    <t>Unit Ventilator</t>
  </si>
  <si>
    <t>Air Conditioning (PTAC or AC)</t>
  </si>
  <si>
    <t>Packaged Terminal Heat Pump (PTHP)</t>
  </si>
  <si>
    <t>Fan Powered Terminal Boxes (FPTB)</t>
  </si>
  <si>
    <t>CV Box</t>
  </si>
  <si>
    <t>VAV Box</t>
  </si>
  <si>
    <t>Fan Coil Unit (FCU)</t>
  </si>
  <si>
    <t>Baseboard, Cabinet Heater or Radiators</t>
  </si>
  <si>
    <t>VRF or ASHP</t>
  </si>
  <si>
    <t>Water Loop Heat Pump</t>
  </si>
  <si>
    <t>Limitations and Exceptions</t>
  </si>
  <si>
    <t>[1] Spaces with 24/7 occupancy are not eligible</t>
  </si>
  <si>
    <t>[2] Only eligible when space has mechanical ventilation included in the project</t>
  </si>
  <si>
    <t>[3] DX heating systems are not eligible for Scheduling and OSS with 7 day occupancy</t>
  </si>
  <si>
    <t>Jump to Results</t>
  </si>
  <si>
    <t>Statewide Savings Tool</t>
  </si>
  <si>
    <t>Prescriptive BMS Calculator</t>
  </si>
  <si>
    <t>Version N°:</t>
  </si>
  <si>
    <t>Legend</t>
  </si>
  <si>
    <t>Company Name:</t>
  </si>
  <si>
    <t>Version Date:</t>
  </si>
  <si>
    <t>Application info</t>
  </si>
  <si>
    <t>Company Address:</t>
  </si>
  <si>
    <t>Street</t>
  </si>
  <si>
    <t>City</t>
  </si>
  <si>
    <t>Gas PA:</t>
  </si>
  <si>
    <t>National Grid Gas - MA</t>
  </si>
  <si>
    <t>User Input</t>
  </si>
  <si>
    <t>Customer Contact Name:</t>
  </si>
  <si>
    <t>Phone N°:</t>
  </si>
  <si>
    <t>Electric PA:</t>
  </si>
  <si>
    <t>Eversource</t>
  </si>
  <si>
    <t>Project Calculation</t>
  </si>
  <si>
    <t>PA Technical Representative:</t>
  </si>
  <si>
    <t>Not applicable to project</t>
  </si>
  <si>
    <t>PA Technical Representative Phone Number:</t>
  </si>
  <si>
    <t>Application #:</t>
  </si>
  <si>
    <t>Electric accounts associated with the building:</t>
  </si>
  <si>
    <t>Gas accounts associated with the building:</t>
  </si>
  <si>
    <t>This prescriptive BMS offer supports installation of new Building Mangament Systems, upgrades to existing systems, and implimentation of subscription based system control products.</t>
  </si>
  <si>
    <t>Flags for errors and conditional formating</t>
  </si>
  <si>
    <t>Explanation</t>
  </si>
  <si>
    <r>
      <rPr>
        <i/>
        <sz val="16"/>
        <color rgb="FF000000"/>
        <rFont val="Calibri"/>
        <family val="2"/>
      </rPr>
      <t>Instructions: Provide requested information for all orange cells.  "</t>
    </r>
    <r>
      <rPr>
        <i/>
        <sz val="16"/>
        <color rgb="FFFF0000"/>
        <rFont val="Calibri"/>
        <family val="2"/>
      </rPr>
      <t>*</t>
    </r>
    <r>
      <rPr>
        <i/>
        <sz val="16"/>
        <color rgb="FF000000"/>
        <rFont val="Calibri"/>
        <family val="2"/>
      </rPr>
      <t>" Indicates required field for savings estimates or incentives.</t>
    </r>
    <r>
      <rPr>
        <i/>
        <sz val="16"/>
        <color theme="1"/>
        <rFont val="Calibri"/>
        <family val="2"/>
      </rPr>
      <t xml:space="preserve">  Click on [-] box on the left of the screen to collapse sections of the tool and [+] to expand.</t>
    </r>
  </si>
  <si>
    <t>HIDE IN FINAL</t>
  </si>
  <si>
    <t>Select cell for description</t>
  </si>
  <si>
    <t xml:space="preserve">Messages </t>
  </si>
  <si>
    <t>Building Information</t>
  </si>
  <si>
    <r>
      <t>Select Principal building activity</t>
    </r>
    <r>
      <rPr>
        <sz val="11"/>
        <color rgb="FFFF0000"/>
        <rFont val="Calibri"/>
        <family val="2"/>
        <scheme val="minor"/>
      </rPr>
      <t>*</t>
    </r>
  </si>
  <si>
    <r>
      <rPr>
        <sz val="11"/>
        <color rgb="FF000000"/>
        <rFont val="Calibri"/>
        <family val="2"/>
      </rPr>
      <t>Non-Electric Heating Fuel</t>
    </r>
    <r>
      <rPr>
        <sz val="11"/>
        <color rgb="FFFF0000"/>
        <rFont val="Calibri"/>
        <family val="2"/>
      </rPr>
      <t>*</t>
    </r>
  </si>
  <si>
    <r>
      <t>Total Building Area (sqft)</t>
    </r>
    <r>
      <rPr>
        <sz val="11"/>
        <color rgb="FFFF0000"/>
        <rFont val="Calibri"/>
        <family val="2"/>
      </rPr>
      <t>*</t>
    </r>
  </si>
  <si>
    <t>Square Feet</t>
  </si>
  <si>
    <t xml:space="preserve">Buildings must be between 5,000-300,000 sqft to be eligible for this program. Please seek custom savings incentives for larger buildings. </t>
  </si>
  <si>
    <t>Flag if building too large or small for the program.  Used for conditional formatting of cell E27</t>
  </si>
  <si>
    <r>
      <t>Annual electric usage (total over last 12 months)</t>
    </r>
    <r>
      <rPr>
        <sz val="11"/>
        <color rgb="FFFF0000"/>
        <rFont val="Calibri"/>
        <family val="2"/>
        <scheme val="minor"/>
      </rPr>
      <t>*</t>
    </r>
  </si>
  <si>
    <t>kWh</t>
  </si>
  <si>
    <t xml:space="preserve">Note that tab 1. Pre-Inspection indicates on site generation or industrial process loads at this site, which will affect the site EUI. </t>
  </si>
  <si>
    <t>Flag if pre-inspection indicates renewables or process loads</t>
  </si>
  <si>
    <r>
      <t>Annual fuel usage (total over last 12 months)</t>
    </r>
    <r>
      <rPr>
        <sz val="11"/>
        <color rgb="FFFF0000"/>
        <rFont val="Calibri"/>
        <family val="2"/>
        <scheme val="minor"/>
      </rPr>
      <t>*</t>
    </r>
  </si>
  <si>
    <t>flag if area, kwh, or therms are blank</t>
  </si>
  <si>
    <r>
      <rPr>
        <b/>
        <sz val="11"/>
        <color theme="0"/>
        <rFont val="Calibri"/>
        <family val="2"/>
        <scheme val="minor"/>
      </rPr>
      <t>Site Energy Use Intensity</t>
    </r>
    <r>
      <rPr>
        <sz val="11"/>
        <color theme="0"/>
        <rFont val="Calibri"/>
        <family val="2"/>
        <scheme val="minor"/>
      </rPr>
      <t xml:space="preserve"> - See EUI Benchmark tab for more detail</t>
    </r>
  </si>
  <si>
    <t>Project</t>
  </si>
  <si>
    <t>Benchmark</t>
  </si>
  <si>
    <t>Units</t>
  </si>
  <si>
    <t>Benchmark Comparions</t>
  </si>
  <si>
    <t>Total Building EUI</t>
  </si>
  <si>
    <t>kBtu/sqft</t>
  </si>
  <si>
    <t xml:space="preserve">Electric EUI </t>
  </si>
  <si>
    <t>Fuel EUI</t>
  </si>
  <si>
    <t>Messages</t>
  </si>
  <si>
    <t>Project Type</t>
  </si>
  <si>
    <r>
      <t>Proposed Control activity</t>
    </r>
    <r>
      <rPr>
        <sz val="11"/>
        <color rgb="FFFF0000"/>
        <rFont val="Calibri"/>
        <family val="2"/>
      </rPr>
      <t>*</t>
    </r>
  </si>
  <si>
    <t>Select Project Type</t>
  </si>
  <si>
    <t>Click for additional BMS program information</t>
  </si>
  <si>
    <t>ref for control activity.  Used for conditional formatting in project info section</t>
  </si>
  <si>
    <t>Will the proposed control activity include Demand Response Curtailment sequences?</t>
  </si>
  <si>
    <t>Unknown</t>
  </si>
  <si>
    <t xml:space="preserve">Projects implementing at least 2 prescriptive electric energy efficiency sequences of operational and temporary demand curtailment sequences for the first time in their building may be eligible for an additional $3,000 incentive.  The Sponsors of Mass Save must receive confirmation enrollment with ConnectedSolutions from the Curtailment Service Provider (CSP) to receive the additional incentive.  </t>
  </si>
  <si>
    <t>Click for ConnectedSolutions Information</t>
  </si>
  <si>
    <t>if "no" then this will be zero.  Used to show message on ADR readiness requirements</t>
  </si>
  <si>
    <r>
      <t xml:space="preserve">Building Management System (BMS) or Building Control System 
</t>
    </r>
    <r>
      <rPr>
        <sz val="11"/>
        <color theme="0"/>
        <rFont val="Calibri"/>
        <family val="2"/>
        <scheme val="minor"/>
      </rPr>
      <t xml:space="preserve">The </t>
    </r>
    <r>
      <rPr>
        <sz val="10"/>
        <color theme="0"/>
        <rFont val="Calibri"/>
        <family val="2"/>
        <scheme val="minor"/>
      </rPr>
      <t xml:space="preserve">Mass Save Prescriptive BMS program will provide incentives for qualified projects when the building control system meets the Prescriptive BMS application criteria for centralized control and trending of existing equipment. The Sponsors of Mass Save will consider the project BMS as long as the energy saving sequences and system meet the application requirements. </t>
    </r>
  </si>
  <si>
    <t>Proposed BMS Manufacturer and Product</t>
  </si>
  <si>
    <t>[Product type]</t>
  </si>
  <si>
    <t>flag if BMS. Used for incentive comparison to total cost</t>
  </si>
  <si>
    <r>
      <t>Total Proposed Project Cost</t>
    </r>
    <r>
      <rPr>
        <sz val="11"/>
        <color rgb="FFFF0000"/>
        <rFont val="Calibri"/>
        <family val="2"/>
        <scheme val="minor"/>
      </rPr>
      <t>*</t>
    </r>
  </si>
  <si>
    <t>flag if BMS, but cost not provided</t>
  </si>
  <si>
    <t>Notes/explanation on scope and cost</t>
  </si>
  <si>
    <t>[Optional information about system capabilities, type, other information that may be relevant to project review and application processing]</t>
  </si>
  <si>
    <r>
      <t xml:space="preserve">Subscription Based System Control
</t>
    </r>
    <r>
      <rPr>
        <sz val="10"/>
        <color theme="0"/>
        <rFont val="Calibri"/>
        <family val="2"/>
        <scheme val="minor"/>
      </rPr>
      <t xml:space="preserve">Subscription Based System Control incentives support first time installations and annual subscription fees for the implementation and maintenance of building system control sequences in existing buildings on existing equipment that meet program expectations for hardware and software. </t>
    </r>
    <r>
      <rPr>
        <i/>
        <sz val="10"/>
        <color theme="0"/>
        <rFont val="Calibri"/>
        <family val="2"/>
        <scheme val="minor"/>
      </rPr>
      <t xml:space="preserve">These control products must be reviewed by the Massachusetts Technology Assessment Committee (MTAC) prior to prescriptive program participation. </t>
    </r>
  </si>
  <si>
    <t>Has this product been reviewed by MTAC and deemed eligible for this program?</t>
  </si>
  <si>
    <t>Current Reviewed Product List on BMS Website</t>
  </si>
  <si>
    <t>Click for MTAC Product Submission Information</t>
  </si>
  <si>
    <t xml:space="preserve">flag if product not reviewed by MTAC and subscription project type = 1 </t>
  </si>
  <si>
    <t xml:space="preserve">Products must be reviewed by MTAC prior to project approval. </t>
  </si>
  <si>
    <t>Proposed Control System Product</t>
  </si>
  <si>
    <t xml:space="preserve">Provide product name and type.  </t>
  </si>
  <si>
    <t>flag if subscription.  Used for incentive comparison to total cost</t>
  </si>
  <si>
    <r>
      <t xml:space="preserve">Is this the first year this product has been deployed at this site AND does the project require hardware upgrades at the site (such as compatible thermostats, new controllers, sensors, etc.)? </t>
    </r>
    <r>
      <rPr>
        <sz val="11"/>
        <color rgb="FFFF0000"/>
        <rFont val="Calibri"/>
        <family val="2"/>
        <scheme val="minor"/>
      </rPr>
      <t>*</t>
    </r>
  </si>
  <si>
    <t>First year implementation of subscription controls that include hardware installations will receive additional incentives to offset the cost of implementation.</t>
  </si>
  <si>
    <t>flag if subscription but cost not provided</t>
  </si>
  <si>
    <t>Has this site received a BMS incentive for this subscription in a previous year? (1 = Yes)</t>
  </si>
  <si>
    <r>
      <t>Number of years prepaid subscription on this application</t>
    </r>
    <r>
      <rPr>
        <sz val="11"/>
        <color rgb="FFFF0000"/>
        <rFont val="Calibri"/>
        <family val="2"/>
        <scheme val="minor"/>
      </rPr>
      <t>*</t>
    </r>
  </si>
  <si>
    <r>
      <t>Proposed installation/integration costs (excluding subscription fee) included in this application</t>
    </r>
    <r>
      <rPr>
        <sz val="11"/>
        <color rgb="FFFF0000"/>
        <rFont val="Calibri"/>
        <family val="2"/>
        <scheme val="minor"/>
      </rPr>
      <t>*</t>
    </r>
  </si>
  <si>
    <r>
      <t>Proposed annual subscription fee ($/year)</t>
    </r>
    <r>
      <rPr>
        <sz val="11"/>
        <color rgb="FFFF0000"/>
        <rFont val="Calibri"/>
        <family val="2"/>
        <scheme val="minor"/>
      </rPr>
      <t>*</t>
    </r>
  </si>
  <si>
    <t xml:space="preserve">Provide annual subscription cost, not total pre-paid value.  </t>
  </si>
  <si>
    <t>[Optional information about system capabilities, type, other information that may be relevant to project review and application processing.  Note, if available and applicable, past program participation]</t>
  </si>
  <si>
    <t xml:space="preserve">Project Information </t>
  </si>
  <si>
    <r>
      <rPr>
        <b/>
        <sz val="11"/>
        <color rgb="FFFFFFFF"/>
        <rFont val="Calibri"/>
        <family val="2"/>
      </rPr>
      <t xml:space="preserve">Affected Areas </t>
    </r>
    <r>
      <rPr>
        <sz val="11"/>
        <color rgb="FFFFFFFF"/>
        <rFont val="Calibri"/>
        <family val="2"/>
      </rPr>
      <t xml:space="preserve">- Please provide an estimate square footage for each discrete building area impacted by the </t>
    </r>
    <r>
      <rPr>
        <b/>
        <sz val="11"/>
        <color rgb="FFFFFFFF"/>
        <rFont val="Calibri"/>
        <family val="2"/>
      </rPr>
      <t>Sequences of Operation</t>
    </r>
    <r>
      <rPr>
        <sz val="11"/>
        <color rgb="FFFFFFFF"/>
        <rFont val="Calibri"/>
        <family val="2"/>
      </rPr>
      <t xml:space="preserve"> in the columns below.  </t>
    </r>
    <r>
      <rPr>
        <b/>
        <sz val="11"/>
        <color rgb="FFFFFFFF"/>
        <rFont val="Calibri"/>
        <family val="2"/>
      </rPr>
      <t>Project areas reas should not overlap.</t>
    </r>
    <r>
      <rPr>
        <sz val="11"/>
        <color rgb="FFFFFFFF"/>
        <rFont val="Calibri"/>
        <family val="2"/>
      </rPr>
      <t xml:space="preserve">  If all sequences affect same area, only populate "Area 1."  One piece of equipment may serve multiple areas.</t>
    </r>
  </si>
  <si>
    <t>Area 1</t>
  </si>
  <si>
    <t>Area 2</t>
  </si>
  <si>
    <t>Area 3</t>
  </si>
  <si>
    <t>Area 4</t>
  </si>
  <si>
    <t>Area 5</t>
  </si>
  <si>
    <t>Total Project Area</t>
  </si>
  <si>
    <r>
      <rPr>
        <sz val="11"/>
        <color rgb="FF000000"/>
        <rFont val="Calibri"/>
        <family val="2"/>
      </rPr>
      <t>Project Affected Area (sqft)</t>
    </r>
    <r>
      <rPr>
        <sz val="11"/>
        <color rgb="FFFF0000"/>
        <rFont val="Calibri"/>
        <family val="2"/>
      </rPr>
      <t>*</t>
    </r>
  </si>
  <si>
    <t>Affected area exceeds building area.  Ensure Areas Do Not Overlap.</t>
  </si>
  <si>
    <t>flag if total project area is larger than building area.  Note, values must be whole numbers greater than (-1). Used for conditional formatting of cell E53</t>
  </si>
  <si>
    <t>Area Description</t>
  </si>
  <si>
    <t>[description 1]</t>
  </si>
  <si>
    <t>[description 2]</t>
  </si>
  <si>
    <t>[description 3]</t>
  </si>
  <si>
    <t>[description 4]</t>
  </si>
  <si>
    <t>[description 5]</t>
  </si>
  <si>
    <t>Project areas represent distinct spaces in the building and should not overlap.  Project equipment may serve multiple Affected Areas.</t>
  </si>
  <si>
    <r>
      <rPr>
        <sz val="11"/>
        <color rgb="FF000000"/>
        <rFont val="Calibri"/>
        <family val="2"/>
      </rPr>
      <t>Area Occupancy</t>
    </r>
    <r>
      <rPr>
        <sz val="11"/>
        <color rgb="FFFF0000"/>
        <rFont val="Calibri"/>
        <family val="2"/>
      </rPr>
      <t>*</t>
    </r>
  </si>
  <si>
    <t>5-6 Day with Unoccupied Nights</t>
  </si>
  <si>
    <t>For "Mixed of BMS Project Type" proposed control activity - specify Control Activity In Affected Area</t>
  </si>
  <si>
    <t>Installation of New BMS</t>
  </si>
  <si>
    <r>
      <rPr>
        <b/>
        <sz val="11"/>
        <color rgb="FFFFFFFF"/>
        <rFont val="Calibri"/>
        <family val="2"/>
      </rPr>
      <t xml:space="preserve">Controlled HVAC Equipment </t>
    </r>
    <r>
      <rPr>
        <sz val="11"/>
        <color rgb="FFFFFFFF"/>
        <rFont val="Calibri"/>
        <family val="2"/>
      </rPr>
      <t xml:space="preserve">- Please provide information on the equipment that will be controlled in the affected area as part of this project. Please go in the order top to bottom, a this will effect the selections that come after. </t>
    </r>
  </si>
  <si>
    <t>CONDITIONAL FORMATTING NOTES</t>
  </si>
  <si>
    <t xml:space="preserve">default of all cells is like this </t>
  </si>
  <si>
    <t>text</t>
  </si>
  <si>
    <r>
      <rPr>
        <sz val="11"/>
        <color rgb="FF000000"/>
        <rFont val="Calibri"/>
        <family val="2"/>
      </rPr>
      <t>Ventilation System Type</t>
    </r>
    <r>
      <rPr>
        <sz val="11"/>
        <color rgb="FFFF0000"/>
        <rFont val="Calibri"/>
        <family val="2"/>
      </rPr>
      <t>*</t>
    </r>
    <r>
      <rPr>
        <sz val="11"/>
        <color theme="1"/>
        <rFont val="Calibri"/>
        <family val="2"/>
      </rPr>
      <t xml:space="preserve"> </t>
    </r>
  </si>
  <si>
    <t>N/A or Not Controlled in Project</t>
  </si>
  <si>
    <t xml:space="preserve">Select equipment serving each area.  If equipment is not eligible (such as new equipment) mark "N/A or Not Controlled in Project". Terminal units not factored into savings or incentives.  </t>
  </si>
  <si>
    <t>when eligible, use this</t>
  </si>
  <si>
    <r>
      <rPr>
        <sz val="11"/>
        <color rgb="FF000000"/>
        <rFont val="Calibri"/>
        <family val="2"/>
      </rPr>
      <t>Primary Central Heating System</t>
    </r>
    <r>
      <rPr>
        <sz val="11"/>
        <color rgb="FFFF0000"/>
        <rFont val="Calibri"/>
        <family val="2"/>
      </rPr>
      <t>*</t>
    </r>
  </si>
  <si>
    <r>
      <rPr>
        <sz val="11"/>
        <color rgb="FF000000"/>
        <rFont val="Calibri"/>
        <family val="2"/>
      </rPr>
      <t>Primary Central Cooling System</t>
    </r>
    <r>
      <rPr>
        <sz val="11"/>
        <color rgb="FFFF0000"/>
        <rFont val="Calibri"/>
        <family val="2"/>
      </rPr>
      <t>*</t>
    </r>
  </si>
  <si>
    <t>Majority Terminal Units</t>
  </si>
  <si>
    <r>
      <rPr>
        <sz val="11"/>
        <color rgb="FF000000"/>
        <rFont val="Calibri"/>
        <family val="2"/>
      </rPr>
      <t>Secondary Heating System to Heat Pump System</t>
    </r>
    <r>
      <rPr>
        <sz val="11"/>
        <color rgb="FFFF0000"/>
        <rFont val="Calibri"/>
        <family val="2"/>
      </rPr>
      <t>*</t>
    </r>
  </si>
  <si>
    <t>conditional formatting here based on bh_HP flag on project savings tab</t>
  </si>
  <si>
    <r>
      <rPr>
        <b/>
        <sz val="11"/>
        <color theme="0"/>
        <rFont val="Calibri"/>
        <family val="2"/>
      </rPr>
      <t xml:space="preserve">Sequences of Operation </t>
    </r>
    <r>
      <rPr>
        <sz val="11"/>
        <color rgb="FFFFFFFF"/>
        <rFont val="Calibri"/>
        <family val="2"/>
      </rPr>
      <t>- Select "1" for each sequence to be implemented under each Affected Area. Selection of a proposed sequence for implementation should align with the submitted description of how each sequence intends to control (set points, control component operation, etc.).</t>
    </r>
  </si>
  <si>
    <t>unique use of eligible sequences</t>
  </si>
  <si>
    <t>Sequence not Eligible if "0".  Considers schedule and primary systems. Selection will grey if not eligible</t>
  </si>
  <si>
    <t>System Schedules and Unoccupied Setbacks</t>
  </si>
  <si>
    <t xml:space="preserve">Select the sequences proposed for implementation in each area.  Sequences that are grey are not eligible based on selected equipment and area occupancy.  Ineligible sequences will not receive incentives or return savings. </t>
  </si>
  <si>
    <t xml:space="preserve">Valid except when 24/7 occupancy.  No HP heating with 7 day schedule, but still savings on pumps and fans. </t>
  </si>
  <si>
    <t>Optimal Start / Stop</t>
  </si>
  <si>
    <t>Valid when chiller used</t>
  </si>
  <si>
    <t>Valid when VAV selected</t>
  </si>
  <si>
    <t>Valid for condensing and non-condensing boilers (primary equipment only)</t>
  </si>
  <si>
    <t xml:space="preserve">Demand Control Ventilation </t>
  </si>
  <si>
    <t>Valid for cooling, hydronic boilers (primary or secondary), resistance in AHU.</t>
  </si>
  <si>
    <t>Valid for cooling</t>
  </si>
  <si>
    <t>Reset Supply Air Discharge Temperature</t>
  </si>
  <si>
    <r>
      <t xml:space="preserve">Additional Optimization (Subscription Based System Control Products) - </t>
    </r>
    <r>
      <rPr>
        <sz val="11"/>
        <color theme="0"/>
        <rFont val="Calibri"/>
        <family val="2"/>
      </rPr>
      <t xml:space="preserve">The below fields may be used to account for additional optimization strategies employed by subscription based system control products that are not captured in the above sequence list.  Optimization sequence eligibility will be determined during MTAC review. </t>
    </r>
  </si>
  <si>
    <t>Cooling System</t>
  </si>
  <si>
    <t xml:space="preserve">Section of inputs used only for subscription based system controls products only.  Eligibility for these sequences is determined by MTAC during product review. </t>
  </si>
  <si>
    <t>Ventilation System</t>
  </si>
  <si>
    <t>Heating System</t>
  </si>
  <si>
    <r>
      <t xml:space="preserve">Sequence Count for Incentive - </t>
    </r>
    <r>
      <rPr>
        <sz val="11"/>
        <color theme="0"/>
        <rFont val="Calibri"/>
        <family val="2"/>
      </rPr>
      <t xml:space="preserve">The following sequence counts are used to calculate incentives.  If a sequence produces both gas and electric savings for a particular project it will result in a sequence count of 2.  Sequences that produce a single fuel savings will result in a sequence count of 1.  </t>
    </r>
  </si>
  <si>
    <t>Sequence Count</t>
  </si>
  <si>
    <t>Tally of Sequence Count eligible for incentives based on provided project data.</t>
  </si>
  <si>
    <r>
      <t>Results and Incentives -</t>
    </r>
    <r>
      <rPr>
        <sz val="15"/>
        <color rgb="FFFF0000"/>
        <rFont val="Calibri"/>
        <family val="2"/>
        <scheme val="minor"/>
      </rPr>
      <t xml:space="preserve"> All Incentives subject to Program Administrator approval and modification.  Incentives are capped at 60% of project costs.  </t>
    </r>
  </si>
  <si>
    <t>Value</t>
  </si>
  <si>
    <t>Energy Efficiency Savings</t>
  </si>
  <si>
    <t>Total</t>
  </si>
  <si>
    <t>Upgrade of Existing BMS</t>
  </si>
  <si>
    <t xml:space="preserve">Subscription Based System Control </t>
  </si>
  <si>
    <t>Building Control and ADR Enrollment Incentive</t>
  </si>
  <si>
    <t>Annual Electric (kWh)</t>
  </si>
  <si>
    <t>Summer Peak Demand (kW)</t>
  </si>
  <si>
    <t>Winter Peak Demand (kW)</t>
  </si>
  <si>
    <t xml:space="preserve">Incentives </t>
  </si>
  <si>
    <t>Indicator</t>
  </si>
  <si>
    <t>Logic</t>
  </si>
  <si>
    <t>Electric Incentive Estimate</t>
  </si>
  <si>
    <t>if DR requested but only 1 SOO selected = 0</t>
  </si>
  <si>
    <t xml:space="preserve">Project must include two unique energy SOO to be eligible for the Demand Response Kicker. </t>
  </si>
  <si>
    <t>Gas Incentive Estimate</t>
  </si>
  <si>
    <t>if incentive is calculated, but the eligible incentive differs from calculated incentive = 1 (cap is triggered)</t>
  </si>
  <si>
    <t xml:space="preserve">Note that calculated energy efficiency incentive exceeds 60% of project costs and has been capped. </t>
  </si>
  <si>
    <t>Total Offer Estimate</t>
  </si>
  <si>
    <t>if incentive is not calculated, missing project data</t>
  </si>
  <si>
    <t xml:space="preserve">Provide required project information for incentive estimate. </t>
  </si>
  <si>
    <t xml:space="preserve">Other Results </t>
  </si>
  <si>
    <t>if building size outside eligible range, hide incentives</t>
  </si>
  <si>
    <t xml:space="preserve">Building is not eligible for incentives based on provided building area.  </t>
  </si>
  <si>
    <t>Total Project Area Affected (sqft)</t>
  </si>
  <si>
    <t>Estimated annual kWh use for affected area (kWh)</t>
  </si>
  <si>
    <t>% kWh Savings of total kWh usage</t>
  </si>
  <si>
    <t>Hide Results</t>
  </si>
  <si>
    <t>% fuel savings of total fuel usage</t>
  </si>
  <si>
    <t>Gallons Delivered Fuel Savings (Gal)</t>
  </si>
  <si>
    <t>Total Project Costs</t>
  </si>
  <si>
    <t>Percent of Project Cost Incentivized</t>
  </si>
  <si>
    <t>Errors</t>
  </si>
  <si>
    <t xml:space="preserve">Active Issue </t>
  </si>
  <si>
    <t>Suggested Action</t>
  </si>
  <si>
    <t>Jump to section</t>
  </si>
  <si>
    <t>Eligibility Issues</t>
  </si>
  <si>
    <t>Building Area out of Eligible Range</t>
  </si>
  <si>
    <t>Consider apply for a custom incentive</t>
  </si>
  <si>
    <t>Not eligible for Demand Response Curtailment</t>
  </si>
  <si>
    <t xml:space="preserve">Select at least two unique electric energy savings sequences </t>
  </si>
  <si>
    <t>Project Information</t>
  </si>
  <si>
    <t>Product has not been reviewed by MTAC</t>
  </si>
  <si>
    <t>Submit product for review prior to application for incentives</t>
  </si>
  <si>
    <t>Data Entry Issues</t>
  </si>
  <si>
    <t>EUI cannot be calculated</t>
  </si>
  <si>
    <t>Provide building area and consumption in the Building Energy Use Intensity section</t>
  </si>
  <si>
    <t>Control Area exceeds Building Area</t>
  </si>
  <si>
    <t>Ensure that project areas do not overlap</t>
  </si>
  <si>
    <t>Missing Installation Cost</t>
  </si>
  <si>
    <t>Provide project cost estimates</t>
  </si>
  <si>
    <t>Jump to Top</t>
  </si>
  <si>
    <t>Overview</t>
  </si>
  <si>
    <r>
      <rPr>
        <b/>
        <sz val="11"/>
        <color rgb="FFFF0000"/>
        <rFont val="Calibri"/>
        <family val="2"/>
        <scheme val="minor"/>
      </rPr>
      <t>The pre-inspection form is for PA use.</t>
    </r>
    <r>
      <rPr>
        <sz val="11"/>
        <color theme="1"/>
        <rFont val="Calibri"/>
        <family val="2"/>
        <scheme val="minor"/>
      </rPr>
      <t xml:space="preserve">  PAs will reach out to schedule a pre-inspection at the facility and complete this form or equivalent during their inspection.  </t>
    </r>
  </si>
  <si>
    <t>Statewide Data Collection</t>
  </si>
  <si>
    <t>Prescriptive BMS Pre Inspection</t>
  </si>
  <si>
    <t>Eversource Gas</t>
  </si>
  <si>
    <t>This prescriptive BMS offer supports installation or optimization of new Building Mangament Systems, upgrades to existing systems, and implimentation of subscription based control products.</t>
  </si>
  <si>
    <t>Printable Format?</t>
  </si>
  <si>
    <t>No</t>
  </si>
  <si>
    <t>Data Collection</t>
  </si>
  <si>
    <t>Inputs</t>
  </si>
  <si>
    <t>Messages or Instruction</t>
  </si>
  <si>
    <t>Proposed Project Type</t>
  </si>
  <si>
    <t>Inspection</t>
  </si>
  <si>
    <t xml:space="preserve">Subscription Based Control </t>
  </si>
  <si>
    <t>Incentive sought for first time installation of subscription based control product or for renewal of subscription.</t>
  </si>
  <si>
    <t>Date of Inspection</t>
  </si>
  <si>
    <t>First time BMS installation</t>
  </si>
  <si>
    <t>Incentive sought for first time installation of a traditional BMS, replacing decentralized control system without trend capabilities.</t>
  </si>
  <si>
    <t>Pre-inspector Name/Company</t>
  </si>
  <si>
    <t>Legacy System Replacement</t>
  </si>
  <si>
    <t>Incentive sought to replace an existing BMS.  Existing system must be more than 15 years old to be eligible.</t>
  </si>
  <si>
    <t>Vendor Name/Company</t>
  </si>
  <si>
    <t>Add on of new sequence(s)</t>
  </si>
  <si>
    <t>Incentive sought to expand existing BMS to control additional existing equipment or impliment a new SOO.</t>
  </si>
  <si>
    <t>Customer Name/Company</t>
  </si>
  <si>
    <t>Tune up of existing sequence(s)</t>
  </si>
  <si>
    <t>Incentive sought to optimize existing sequences on an existing BMS.</t>
  </si>
  <si>
    <t>Mix of Project Type</t>
  </si>
  <si>
    <t>Incentives sought for a project that includes partial system replacement with improvements to existing BMS.</t>
  </si>
  <si>
    <t>Total Building Area (sqft)</t>
  </si>
  <si>
    <t>May be approximate</t>
  </si>
  <si>
    <t>Total Heated Area (sqft)</t>
  </si>
  <si>
    <t>Total Cooled Area (sqft)</t>
  </si>
  <si>
    <t>Does the building have renewables or CHP behind the meter?</t>
  </si>
  <si>
    <t>Informational purposes only to facilitate project review.</t>
  </si>
  <si>
    <t>Is there a current or planned building renovation?</t>
  </si>
  <si>
    <t>Select from dropdown</t>
  </si>
  <si>
    <t>Does the building include labs or process loads?</t>
  </si>
  <si>
    <t>Notes or explanation on above</t>
  </si>
  <si>
    <t>Age Verification Approach</t>
  </si>
  <si>
    <t>Date on field panel</t>
  </si>
  <si>
    <t xml:space="preserve">Provide pictures of field panel (s) with date of manufacturer </t>
  </si>
  <si>
    <t>Is any of the HVAC equipment newly installed or planned to be replaced?</t>
  </si>
  <si>
    <t>Sequences on new equipment are not eligible for Prescriptive BMS incentives.</t>
  </si>
  <si>
    <t>Mechanical control drawings</t>
  </si>
  <si>
    <t>If field panel does not have a date, provide pictures of the mechanical control drawings with wiring and layout of system, including date on title blcok.</t>
  </si>
  <si>
    <t>Primary Heating Equipment</t>
  </si>
  <si>
    <t>Provide high level overview of HVAC equipment.  Does not require a full equipment inventory.  Note any equipment that is new or planned to be replaced as necessary.</t>
  </si>
  <si>
    <t>Model number</t>
  </si>
  <si>
    <t>If panel age or mechanical control drawings aren't available, provide field panel's full model number.</t>
  </si>
  <si>
    <t>Primary Cooling Equipment</t>
  </si>
  <si>
    <t>Other</t>
  </si>
  <si>
    <t xml:space="preserve">Provide other evidence of system age.  May not be accepted by reviewing PA.  </t>
  </si>
  <si>
    <t>Air Handling</t>
  </si>
  <si>
    <t>Terminal units (for ventilation)</t>
  </si>
  <si>
    <t>Existing and Proposed Control</t>
  </si>
  <si>
    <t>Existing Control System</t>
  </si>
  <si>
    <t>Examples: thermostats, centralized control system (BMS), pneumatic system, local control, mix of systems</t>
  </si>
  <si>
    <t>Existing System Manufacturer(s)</t>
  </si>
  <si>
    <t>Examples: Siemens, Johnson</t>
  </si>
  <si>
    <t>If known, has the customer previously received program support for the system?</t>
  </si>
  <si>
    <t>If known, approximately when was the previous incentive received?</t>
  </si>
  <si>
    <r>
      <rPr>
        <u/>
        <sz val="11"/>
        <color theme="1"/>
        <rFont val="Calibri"/>
        <family val="2"/>
        <scheme val="minor"/>
      </rPr>
      <t>Legacy System Replacemen</t>
    </r>
    <r>
      <rPr>
        <sz val="11"/>
        <color theme="1"/>
        <rFont val="Calibri"/>
        <family val="2"/>
        <scheme val="minor"/>
      </rPr>
      <t>t - Method of checking existing BMS system age (listed in order of preference)</t>
    </r>
  </si>
  <si>
    <r>
      <rPr>
        <u/>
        <sz val="11"/>
        <color theme="1"/>
        <rFont val="Calibri"/>
        <family val="2"/>
        <scheme val="minor"/>
      </rPr>
      <t>Legacy System Replacement</t>
    </r>
    <r>
      <rPr>
        <sz val="11"/>
        <color theme="1"/>
        <rFont val="Calibri"/>
        <family val="2"/>
        <scheme val="minor"/>
      </rPr>
      <t xml:space="preserve"> - Age of Existing System based on documentation</t>
    </r>
  </si>
  <si>
    <r>
      <rPr>
        <u/>
        <sz val="11"/>
        <color theme="1"/>
        <rFont val="Calibri"/>
        <family val="2"/>
        <scheme val="minor"/>
      </rPr>
      <t xml:space="preserve">Subscription Based System Control </t>
    </r>
    <r>
      <rPr>
        <sz val="11"/>
        <color theme="1"/>
        <rFont val="Calibri"/>
        <family val="2"/>
        <scheme val="minor"/>
      </rPr>
      <t>- Does the facility have existing hardware required to support proposed subscription controls?</t>
    </r>
  </si>
  <si>
    <t xml:space="preserve">Documention </t>
  </si>
  <si>
    <t>Proof of System age</t>
  </si>
  <si>
    <t>Provide list of equipment affected by the implimented controls.  This list will be used to produce the Project MRD.  The MRD lists sequences and verification requirements by equipment.  Users may group equipment on the list as long as the group includes the same type of equipment and same implimented sequences.  Note - tool does not assess if the selected SOO is appropriate for the listed equipment.  For example, equipment described as "Chiller" that has "1" for Reset Boiler Water Temperature will result in a request for hot water setpoints on the chiller.  Please review for accuracy.</t>
  </si>
  <si>
    <t>Summary of User Inputs</t>
  </si>
  <si>
    <t xml:space="preserve">Summary of sequences selected by Project Area from User Inputs and Savings tab.  Provided to assist in populating the Equipment list sequences.  </t>
  </si>
  <si>
    <t>Control Area</t>
  </si>
  <si>
    <t>Area sqft</t>
  </si>
  <si>
    <t>Total # SOO</t>
  </si>
  <si>
    <t>Equipment Information for Project Review</t>
  </si>
  <si>
    <t>Will trend data be reviewed for this project?</t>
  </si>
  <si>
    <t>Yes</t>
  </si>
  <si>
    <t xml:space="preserve">Exclusion of trend data review should be approved by reviewing engineer. </t>
  </si>
  <si>
    <r>
      <rPr>
        <b/>
        <sz val="11"/>
        <color rgb="FFFFFFFF"/>
        <rFont val="Calibri"/>
        <family val="2"/>
      </rPr>
      <t>Equipment List</t>
    </r>
    <r>
      <rPr>
        <sz val="11"/>
        <color rgb="FFFFFFFF"/>
        <rFont val="Calibri"/>
        <family val="2"/>
      </rPr>
      <t xml:space="preserve"> - Complete after the "User Inputs and Savings" tab.  Used to generate MRD used for post-inspection.  Populate with list of affected equpiment, including equipment tag.  Mark "1" for sequences affecting listed equipment.  Greyed sequences are not eligible and/or included in project scope per the provided user inputs. </t>
    </r>
  </si>
  <si>
    <t>Item #</t>
  </si>
  <si>
    <t>Equipment Description and Tag(s)</t>
  </si>
  <si>
    <t xml:space="preserve">Area(s) served </t>
  </si>
  <si>
    <t>Total Sequences Implimented on Equipment</t>
  </si>
  <si>
    <t>Example</t>
  </si>
  <si>
    <t>Chillers 1 and 2 - CHL-1, CHL-2</t>
  </si>
  <si>
    <t>Project Areas 2 and 4</t>
  </si>
  <si>
    <t xml:space="preserve">The following tables will check if the sequence is used and eligible in the project. </t>
  </si>
  <si>
    <t>Sequence Used and Eligible</t>
  </si>
  <si>
    <t>Used in conditional formating above</t>
  </si>
  <si>
    <t>Trends Required?</t>
  </si>
  <si>
    <t>if using - 1 = yes, 0 = no.  If 0 then all trends will be zeroed out</t>
  </si>
  <si>
    <t>Is row used?</t>
  </si>
  <si>
    <t>Provided description</t>
  </si>
  <si>
    <t>Final Text</t>
  </si>
  <si>
    <t>Trend Requirements</t>
  </si>
  <si>
    <t>Screenshot Requirements</t>
  </si>
  <si>
    <t>Sequences</t>
  </si>
  <si>
    <t xml:space="preserve">The Minimum Requirements Document (MRD) will be populated using customer information from the "User Inputs and Savings" tab and equipment from the "MRD Equipment List" tab.  Reviewing engineers must ensure that the Equipment List tab and selected sequences are appropriate for the project, reflect provided Sequence of Operation, and align with Inputs tab.  Document will print excluding this overview section. 
</t>
  </si>
  <si>
    <t xml:space="preserve">Customer </t>
  </si>
  <si>
    <t xml:space="preserve">Program </t>
  </si>
  <si>
    <t>Prescriptive BMS</t>
  </si>
  <si>
    <t xml:space="preserve">Facility </t>
  </si>
  <si>
    <t xml:space="preserve">Measure </t>
  </si>
  <si>
    <t xml:space="preserve">This prescriptive BMS measure implements new or optimizes energy savings building control seqences at facilities. These facilities may be implementing a new functional BMS on existing equipment, expandingan existing BMS, replacing an older BMS (discuss with Technical Representative for more information), or adding a new system-based subscription control product. </t>
  </si>
  <si>
    <t xml:space="preserve">This document specifies the agreed upon minimum equipment specifications and operational requirements of the proposed system.  These requirements shall address the criteria necessary to be met to achieve the demand and energy savings estimated in the engineering analysis for this project.  Yes/No checkboxes are intended for use as post-installation inspection record (check one).  </t>
  </si>
  <si>
    <r>
      <t>EQUIPMENT:</t>
    </r>
    <r>
      <rPr>
        <sz val="10"/>
        <color theme="1"/>
        <rFont val="Arial"/>
        <family val="2"/>
      </rPr>
      <t xml:space="preserve"> </t>
    </r>
    <r>
      <rPr>
        <sz val="8"/>
        <color theme="1"/>
        <rFont val="Arial"/>
        <family val="2"/>
      </rPr>
      <t xml:space="preserve"> </t>
    </r>
    <r>
      <rPr>
        <i/>
        <sz val="8"/>
        <color theme="1"/>
        <rFont val="Arial"/>
        <family val="2"/>
      </rPr>
      <t>Provide a list of equipment or materials installed as part of this project.  Include equipment counts, HP, kW, efficiency and capacity ratings, rating conditions, location of controls hardware, etc.</t>
    </r>
  </si>
  <si>
    <t>Project Design Intent</t>
  </si>
  <si>
    <t>Post Inspection Findings</t>
  </si>
  <si>
    <r>
      <t>Yes</t>
    </r>
    <r>
      <rPr>
        <sz val="10"/>
        <color theme="1"/>
        <rFont val="Arial"/>
        <family val="2"/>
      </rPr>
      <t> </t>
    </r>
  </si>
  <si>
    <r>
      <t>q</t>
    </r>
    <r>
      <rPr>
        <sz val="7"/>
        <color theme="1"/>
        <rFont val="Times New Roman"/>
        <family val="1"/>
      </rPr>
      <t xml:space="preserve"> </t>
    </r>
    <r>
      <rPr>
        <sz val="10"/>
        <color theme="1"/>
        <rFont val="Arial"/>
        <family val="2"/>
      </rPr>
      <t> </t>
    </r>
  </si>
  <si>
    <r>
      <t xml:space="preserve"> </t>
    </r>
    <r>
      <rPr>
        <sz val="8"/>
        <color theme="1"/>
        <rFont val="Arial"/>
        <family val="2"/>
      </rPr>
      <t>No</t>
    </r>
    <r>
      <rPr>
        <sz val="10"/>
        <color theme="1"/>
        <rFont val="Arial"/>
        <family val="2"/>
      </rPr>
      <t> </t>
    </r>
  </si>
  <si>
    <r>
      <t>SEQUENCES OF OPERATION</t>
    </r>
    <r>
      <rPr>
        <sz val="12"/>
        <color theme="1"/>
        <rFont val="Arial"/>
        <family val="2"/>
      </rPr>
      <t>:</t>
    </r>
    <r>
      <rPr>
        <sz val="10"/>
        <color theme="1"/>
        <rFont val="Arial"/>
        <family val="2"/>
      </rPr>
      <t xml:space="preserve">  </t>
    </r>
    <r>
      <rPr>
        <i/>
        <sz val="8"/>
        <color theme="1"/>
        <rFont val="Arial"/>
        <family val="2"/>
      </rPr>
      <t>Provide a description of equipment operating sequences, setpoints, operating schedules, balancing requirements (flow, velocity, head, etc) or any other required operating parameters.  Describe requirements separately.</t>
    </r>
  </si>
  <si>
    <r>
      <t xml:space="preserve">DOCUMENTATION:  </t>
    </r>
    <r>
      <rPr>
        <i/>
        <sz val="8"/>
        <color theme="1"/>
        <rFont val="Arial"/>
        <family val="2"/>
      </rPr>
      <t>List written documentation required to train, verify, operate, or maintain the equipment being installed or controlled.  This may include specification sheets, test reports, construction drawings, etc.</t>
    </r>
  </si>
  <si>
    <t>Final control drawings indicating equipment and final Sequences of Operation</t>
  </si>
  <si>
    <t>Not needed at post inspection, but needed for incentive application</t>
  </si>
  <si>
    <t>12 months of billing data for all fuels used on site</t>
  </si>
  <si>
    <t>Trend Data Report</t>
  </si>
  <si>
    <t>Points List</t>
  </si>
  <si>
    <t>Proof of Demand Response Enrollment (if applicable)</t>
  </si>
  <si>
    <r>
      <t xml:space="preserve">POST INSTALLATION VERIFICATION:  </t>
    </r>
    <r>
      <rPr>
        <i/>
        <sz val="8"/>
        <color theme="1"/>
        <rFont val="Arial"/>
        <family val="2"/>
      </rPr>
      <t>Provide a list of controls and monitoring capabilities required to verify proper system operation.  Trends should document operational sequences, set points and scheduling of equipment as described in TA Study.</t>
    </r>
  </si>
  <si>
    <r>
      <t xml:space="preserve">OTHER REQUIREMENTS:  </t>
    </r>
    <r>
      <rPr>
        <i/>
        <sz val="8"/>
        <color theme="1"/>
        <rFont val="Arial"/>
        <family val="2"/>
      </rPr>
      <t>Describe any requirements for demolition, removal, etc. of existing equipment.</t>
    </r>
  </si>
  <si>
    <r>
      <t xml:space="preserve">SIGNATURES:  
</t>
    </r>
    <r>
      <rPr>
        <i/>
        <sz val="8"/>
        <color theme="1"/>
        <rFont val="Arial"/>
        <family val="2"/>
      </rPr>
      <t>The pre-approved incentive is subject to the PA's POST INSPECTION of final specifications, drawings and operation of the proposed equipment.  In the event the proposed system is altered from the above description, notify the Company of the change prior to the equipment purchase and installation as the change in design and operation may impact the available incentive</t>
    </r>
    <r>
      <rPr>
        <b/>
        <sz val="10"/>
        <color theme="1"/>
        <rFont val="Arial"/>
        <family val="2"/>
      </rPr>
      <t xml:space="preserve">.
</t>
    </r>
  </si>
  <si>
    <t>The PA signature below indicates the PA engineer, or their representative, has reviewed and agrees to the requirements stated in this MRD. The customer signature below indicates the customer also agrees with the requirements of this MRD and will implement as stated.  The customer should only sign below if this MRD has been signed by their PA or their representative.</t>
  </si>
  <si>
    <t>PA Engineer or Representative</t>
  </si>
  <si>
    <t>Date</t>
  </si>
  <si>
    <t>Customer Agreement Signature</t>
  </si>
  <si>
    <r>
      <t>Once the installation is complete and the equipment is operational, the post inspector will sign below, confirming all requirements of this MRD have been met, and/or any discrepancies have been noted.  The PA will review any discrepancies to determine their impact on energy savings or incentive. The final customer signature indicates that they agree with the findings of the post inspector, including any discrepancies noted, and are satisfied with the installation</t>
    </r>
    <r>
      <rPr>
        <i/>
        <sz val="12"/>
        <color rgb="FF4F81BD"/>
        <rFont val="Cambria"/>
        <family val="1"/>
      </rPr>
      <t>.</t>
    </r>
  </si>
  <si>
    <t>Incentive Info</t>
  </si>
  <si>
    <t>electric</t>
  </si>
  <si>
    <t>gas</t>
  </si>
  <si>
    <t>Reference</t>
  </si>
  <si>
    <t>non scheduling</t>
  </si>
  <si>
    <t xml:space="preserve">Scheduling </t>
  </si>
  <si>
    <t>Measure Life</t>
  </si>
  <si>
    <t>Notes</t>
  </si>
  <si>
    <t>both</t>
  </si>
  <si>
    <t>Rates</t>
  </si>
  <si>
    <t>Demand Response</t>
  </si>
  <si>
    <t>Base Rate - Subscription</t>
  </si>
  <si>
    <t>Base Rate - BMS</t>
  </si>
  <si>
    <t>Multipliers</t>
  </si>
  <si>
    <t>non-scheduling - multiplier is 0.3 * # years.  Scheduling - to allow higher incentive for first year installation, which we think will provide offline scheduline on site for ML of new BMS, we will use the BMS multiplier if this project includes scheduling and is first year hardware installation.  otherwise scheduling has normal subscription rate.</t>
  </si>
  <si>
    <t>Cap</t>
  </si>
  <si>
    <t>Total Project Cost</t>
  </si>
  <si>
    <t>Area Calculations - Energy Incentives</t>
  </si>
  <si>
    <t>Project Area</t>
  </si>
  <si>
    <t>lookup column</t>
  </si>
  <si>
    <t>Eligible SOO</t>
  </si>
  <si>
    <t>Scheduling - cooling/ventilation</t>
  </si>
  <si>
    <t>ADR kicker logic based on selection and use of 2 energy SOO</t>
  </si>
  <si>
    <t>Scheduling - heating</t>
  </si>
  <si>
    <t>Cooling/ventilation</t>
  </si>
  <si>
    <t>Heating</t>
  </si>
  <si>
    <t>ADR</t>
  </si>
  <si>
    <t>Incentive - Traditional BMS</t>
  </si>
  <si>
    <t>Incentive Rate</t>
  </si>
  <si>
    <t>based on project type look up the incentive rate</t>
  </si>
  <si>
    <t>$/sqft</t>
  </si>
  <si>
    <t>Total Area Incentive</t>
  </si>
  <si>
    <t>Incentive - Subscription</t>
  </si>
  <si>
    <t>Non-scheduling rate</t>
  </si>
  <si>
    <t>scheduling rate</t>
  </si>
  <si>
    <t>$/sqft - non schedule</t>
  </si>
  <si>
    <t>$/sqft - schedule</t>
  </si>
  <si>
    <t>Benchmark EUIs</t>
  </si>
  <si>
    <t>Electric</t>
  </si>
  <si>
    <t>Electric Heat</t>
  </si>
  <si>
    <t>Electric Non-heat</t>
  </si>
  <si>
    <t>Fuel</t>
  </si>
  <si>
    <t>Adjusted Savings</t>
  </si>
  <si>
    <t>Annual kWh</t>
  </si>
  <si>
    <t>Savings are adjusted here by multiplying the % savings by the ratio of benchmark to site EUI</t>
  </si>
  <si>
    <t>kWh Considered for Peak</t>
  </si>
  <si>
    <t>Summer kW</t>
  </si>
  <si>
    <t>kW</t>
  </si>
  <si>
    <t xml:space="preserve">Fuel </t>
  </si>
  <si>
    <t>MMBtu</t>
  </si>
  <si>
    <t>Benefits</t>
  </si>
  <si>
    <t>Measure Life Lookup</t>
  </si>
  <si>
    <t>look up measure life for non subscription products (on tables tab).  If subscription, use value from screen</t>
  </si>
  <si>
    <t>$ benefit</t>
  </si>
  <si>
    <t>Gas</t>
  </si>
  <si>
    <t>Project Totals</t>
  </si>
  <si>
    <t>Total Project</t>
  </si>
  <si>
    <t>Energy Allocation</t>
  </si>
  <si>
    <t>Allocation based on total energy benefits</t>
  </si>
  <si>
    <t>Max Incentive</t>
  </si>
  <si>
    <t>Project Cost * 60%</t>
  </si>
  <si>
    <t>DR readiness</t>
  </si>
  <si>
    <t>DR Kicker if "Yes" selected and 2 sequences implemented</t>
  </si>
  <si>
    <t>Total Calculated Energy Incentive</t>
  </si>
  <si>
    <t>Based on Area Calcs above</t>
  </si>
  <si>
    <t>Eligible energy Incentive</t>
  </si>
  <si>
    <t>Minimum value between calculated incentive and 60% project costs + DR kicker</t>
  </si>
  <si>
    <t>Allocated Eligible Incentive</t>
  </si>
  <si>
    <t>Project Type allocation</t>
  </si>
  <si>
    <t>Allocation of benefits</t>
  </si>
  <si>
    <t>Total Incentive Allocated</t>
  </si>
  <si>
    <t>DR Readiness</t>
  </si>
  <si>
    <t>Installation of New Traditional BMS</t>
  </si>
  <si>
    <t>Upgrade of Existing Traditional BMS</t>
  </si>
  <si>
    <t>Subscription Based Controls</t>
  </si>
  <si>
    <t>Benefits for % Allocation Estimates</t>
  </si>
  <si>
    <t>Benefit Stream</t>
  </si>
  <si>
    <t>kWh Benefit factor ($/kWh)</t>
  </si>
  <si>
    <t>Summer kW Benefit factor ($/kW)</t>
  </si>
  <si>
    <t>Gas Benefit Factor ($/MMBtu)</t>
  </si>
  <si>
    <t xml:space="preserve">Customer: </t>
  </si>
  <si>
    <t xml:space="preserve">Application </t>
  </si>
  <si>
    <t xml:space="preserve">User may note any clarifying comments on the project area, implimented sequences, equipment controlled, etc.  
Notes should be provided to explain any unusual project scenarios or PA feedback on the project. </t>
  </si>
  <si>
    <r>
      <t xml:space="preserve">This tab is intended to facilitate project review by providing EUI benchmarks for common building types.  Cells D10-D12 will indicate whether consumption exceed benchmarks, and if the user should verify building consumption and other inputs on the "User Inputs and Savings Tab".  </t>
    </r>
    <r>
      <rPr>
        <b/>
        <sz val="11"/>
        <color theme="1"/>
        <rFont val="Calibri"/>
        <family val="2"/>
        <scheme val="minor"/>
      </rPr>
      <t xml:space="preserve">Project EUI is not required to be within 25% of benchmark, but please review inputs for accuracy in the case of high or low EUIs.  </t>
    </r>
  </si>
  <si>
    <t xml:space="preserve">Static </t>
  </si>
  <si>
    <t>Select Principle building activity</t>
  </si>
  <si>
    <t xml:space="preserve">Major Fuels </t>
  </si>
  <si>
    <t>Fossil Fuel [1]</t>
  </si>
  <si>
    <t>kbtu/sqft</t>
  </si>
  <si>
    <t>kwh/sqft</t>
  </si>
  <si>
    <t>Ccf/sqft</t>
  </si>
  <si>
    <t>N/A</t>
  </si>
  <si>
    <t>Based on the provided consumption data and building area:</t>
  </si>
  <si>
    <t>The project Major Fuel EUI is</t>
  </si>
  <si>
    <t>The project Electric EUI is</t>
  </si>
  <si>
    <t>The project Fossil Fuel EUI is</t>
  </si>
  <si>
    <t>[1]  EUI displayed in column G represents whatever fossil fuel is used for this project (natural gas, oil, or propane)</t>
  </si>
  <si>
    <t>Benchmark EUI [2]</t>
  </si>
  <si>
    <t>Source</t>
  </si>
  <si>
    <t>Natural Gas</t>
  </si>
  <si>
    <t>cf/sqft</t>
  </si>
  <si>
    <t>numbers below used to flag relevant building type</t>
  </si>
  <si>
    <t>Food sales</t>
  </si>
  <si>
    <t>[3]</t>
  </si>
  <si>
    <t>Food service</t>
  </si>
  <si>
    <t>[4]</t>
  </si>
  <si>
    <t xml:space="preserve">Health care - Inpatient </t>
  </si>
  <si>
    <t>[2]</t>
  </si>
  <si>
    <t xml:space="preserve">Other </t>
  </si>
  <si>
    <t>Health care - Total</t>
  </si>
  <si>
    <t xml:space="preserve">Mercantile - Enclosed and strip malls </t>
  </si>
  <si>
    <t xml:space="preserve">Lodging </t>
  </si>
  <si>
    <t xml:space="preserve">Mercantile - Total </t>
  </si>
  <si>
    <t xml:space="preserve">Health care - Outpatient </t>
  </si>
  <si>
    <t xml:space="preserve">Public assembly </t>
  </si>
  <si>
    <t xml:space="preserve">Office </t>
  </si>
  <si>
    <t>Education</t>
  </si>
  <si>
    <t>Public order and safety</t>
  </si>
  <si>
    <t xml:space="preserve">Mercantile - Non-Mall Retail </t>
  </si>
  <si>
    <t xml:space="preserve">Religious worship </t>
  </si>
  <si>
    <t xml:space="preserve">Service </t>
  </si>
  <si>
    <t xml:space="preserve">Warehouse and storage </t>
  </si>
  <si>
    <t>Vacant</t>
  </si>
  <si>
    <t>[2] Benchmark data is sourced from CBECS (https://www.eia.gov/consumption/commercial/data/2018/index.php?view=consumption):
   -   Table C5: Consumption and gross energy intensity by census region for sum of major fuels, 2018.
   -   Table C15: Electricity consumption and conditional energy intensity by census region, 2018
   -   Table C25. Natural gas consumption and conditional energy intensity by census region, 2018
Presented data is for the Northeast region and listed by Principal Building Activity.
Note that "Major Fuels" includes electricity, natural gas, fuel oil, district heat, district chilled water, propane, solar, wood, coal, and other.  1,037 Btu per cubic foot natural gas used as a conversion factor.</t>
  </si>
  <si>
    <t>[3] CBECS data not available for Food Service in the Northeast region.  Provided EUI values based on National Grid customers.  See "2018_cbecs_NE_for_2023_BMS_Calculator.xls" for analysis.</t>
  </si>
  <si>
    <t>[4] Natural Gas EUI information masked in table C25.  Value estimated as Major Fuel EUI minus Electric EUI.  See "2018_cbecs_NE_for_2023_BMS_Calculator.xls" for analysis.</t>
  </si>
  <si>
    <t>This Project - Select PBA*</t>
  </si>
  <si>
    <t>Column reference</t>
  </si>
  <si>
    <t>25% higher EUI</t>
  </si>
  <si>
    <t>25% lower EUI</t>
  </si>
  <si>
    <t>High/Low Flags</t>
  </si>
  <si>
    <t>Major Fuel</t>
  </si>
  <si>
    <t>Flag high EUI</t>
  </si>
  <si>
    <t>Flag low EUI</t>
  </si>
  <si>
    <t>Any Flag</t>
  </si>
  <si>
    <t>Conversions</t>
  </si>
  <si>
    <t>Input</t>
  </si>
  <si>
    <t>Non Electric Heating Fuel</t>
  </si>
  <si>
    <t>Gas conversion - Therm to kBtu</t>
  </si>
  <si>
    <t>convert all fuels to kBtu for energy analysis - 1 indicates active fuel</t>
  </si>
  <si>
    <t>Propane conversion - Gallon to kBtu</t>
  </si>
  <si>
    <t>Oil conversion - Gallon to kBtu</t>
  </si>
  <si>
    <t>Electric conversion - kWh to kBtu</t>
  </si>
  <si>
    <t>Project Selections and References</t>
  </si>
  <si>
    <t>Row Notes</t>
  </si>
  <si>
    <t>Section Notes</t>
  </si>
  <si>
    <t>Area used</t>
  </si>
  <si>
    <t>directly pulled from input tab</t>
  </si>
  <si>
    <t>directly from input tab</t>
  </si>
  <si>
    <t>Occupancy</t>
  </si>
  <si>
    <t>Ventilation Type</t>
  </si>
  <si>
    <t>Primary Heating Type</t>
  </si>
  <si>
    <t xml:space="preserve">Cooling </t>
  </si>
  <si>
    <t>Secondary Heating Type</t>
  </si>
  <si>
    <t>References for selected equipment</t>
  </si>
  <si>
    <t>Electric heat</t>
  </si>
  <si>
    <t xml:space="preserve">1 if electric heat </t>
  </si>
  <si>
    <t>Terminal units</t>
  </si>
  <si>
    <t>cooling and AH code</t>
  </si>
  <si>
    <t>NOT USED</t>
  </si>
  <si>
    <t>back up heating look up</t>
  </si>
  <si>
    <t>back up depends on heating type</t>
  </si>
  <si>
    <t xml:space="preserve">General Sequence Eligibility </t>
  </si>
  <si>
    <t>Occupancy check - all</t>
  </si>
  <si>
    <t>Will be 0 if 24/7 occupancy or if HP heating 7 day</t>
  </si>
  <si>
    <t xml:space="preserve">special checks </t>
  </si>
  <si>
    <t>indicates if sequence eligible on any equipment listed</t>
  </si>
  <si>
    <t>Occupancy check - HP heating</t>
  </si>
  <si>
    <t xml:space="preserve">1 unless it's a HP @ 5 days, which will not be eligible for scheduling- used in project kBtu calc.  No HP heating with 7 day schedule, but still savings on pumps and fans. </t>
  </si>
  <si>
    <t>Ventilation check</t>
  </si>
  <si>
    <t>0 if no ventilation selected</t>
  </si>
  <si>
    <t>Back up heating check</t>
  </si>
  <si>
    <t>0 for back up hydronic boilers, 1 otherwise.  Used to zero hydronic boiler savings when used as back up</t>
  </si>
  <si>
    <t>sequences</t>
  </si>
  <si>
    <t>not adjusted right now for HP occupancy</t>
  </si>
  <si>
    <t>Note if SOO is eligible given selected equipment.  Used for conditional formatting of sequences in each area on input.  NOT DIRECTLY USED IN SAVINGS CALCS
DCV, DEEC, and DAT reset only eligible when ventilation selected</t>
  </si>
  <si>
    <t>Valid for cooling, boilers (primary or secondary), resistance in AHU.</t>
  </si>
  <si>
    <t>Building Level Analysis</t>
  </si>
  <si>
    <t>Building</t>
  </si>
  <si>
    <t>units</t>
  </si>
  <si>
    <t>Project Area Weight</t>
  </si>
  <si>
    <t>project area sqft</t>
  </si>
  <si>
    <t>sqft</t>
  </si>
  <si>
    <t>% of building area represented</t>
  </si>
  <si>
    <t>%</t>
  </si>
  <si>
    <t>Consumption in Area</t>
  </si>
  <si>
    <t>Electric Consumption</t>
  </si>
  <si>
    <t>kBtu</t>
  </si>
  <si>
    <t xml:space="preserve">Fuel Consumption </t>
  </si>
  <si>
    <t xml:space="preserve">any fuel consumption converted to kBtu. spaces with electric heating should have less gas use, but that's beyond the function of the tool currently.  Assumed no change in gas use. </t>
  </si>
  <si>
    <t>Total Consumption</t>
  </si>
  <si>
    <t>Logic here - if electric resistance (in AHU or baseboard) - 21% of electric for heating.  If HP 12%</t>
  </si>
  <si>
    <t>EUI by Area</t>
  </si>
  <si>
    <t>Electric EUI</t>
  </si>
  <si>
    <t xml:space="preserve">Fuel EUI </t>
  </si>
  <si>
    <t>Total EUI</t>
  </si>
  <si>
    <t>Electric Heat EUI</t>
  </si>
  <si>
    <t>Electric Non-heat EUI</t>
  </si>
  <si>
    <t>Building Savings Potential</t>
  </si>
  <si>
    <t>Building Savings Potential set</t>
  </si>
  <si>
    <t>reference based on the equipment savings (chiller, non chiller, cooling only, ventilation only) that will determine the total building savings potential</t>
  </si>
  <si>
    <t xml:space="preserve">Electric Cooling and Ventilation </t>
  </si>
  <si>
    <t>look up also allows for savings potential to change by project type, but right now the savings are all equivalent</t>
  </si>
  <si>
    <t>Electric Heating</t>
  </si>
  <si>
    <t>Fuel Heating</t>
  </si>
  <si>
    <t>SOO % Allocation Values</t>
  </si>
  <si>
    <t>vlookup (of the SOO and the equipment in area) % allocation</t>
  </si>
  <si>
    <t xml:space="preserve">These values represent the % of the savings potential avilable to each sequence in each area given the selected equipment.  This does not reflect building savings potential, but the share of the building savings potential attributed to each SOO based on theoretical savings. This calculates the % allocation based on teh appropriate theoretical savings and applies the SOO eligibility </t>
  </si>
  <si>
    <t xml:space="preserve">Total </t>
  </si>
  <si>
    <t xml:space="preserve">Reference for Theoretical  Savings </t>
  </si>
  <si>
    <t>Cooling Set</t>
  </si>
  <si>
    <t>theoretical savings developed for chiller and DX only. These are used as basis for savings for other equipment (see Equipment and SOO tab)</t>
  </si>
  <si>
    <t>Ventilation set</t>
  </si>
  <si>
    <t>theoretical savings developed for CV and VAV Air Handlers only.  These are used as basis for savings for other equipment (see Equipment and SOO tab)</t>
  </si>
  <si>
    <t>Primary Heating - relative to non-cond</t>
  </si>
  <si>
    <t>this is relative efficiency of selected system vs. non-condensing boiler (foundation of theoretical savings)</t>
  </si>
  <si>
    <t>Secondary Heating - relative to non-cond</t>
  </si>
  <si>
    <t>Cooling and Ventilation Savings</t>
  </si>
  <si>
    <t xml:space="preserve">The % Building savings for each sequence is determined by allocating the total building savings potential across the eligible system sequences.
* In cases where building has electric heating, the % savings from this table are applied to the electric heating estimate, not to the full building consumption.
Notes on back up heat:
* back up heating systems aren't eligible for OSS or HW reset. 
*  FF back up system  - no adjustments made to % building savings - we're assuming that the gas consumption will be proportionally lower and account for switchover temperatures used on site
* Electric back up system - assuming no one is doing a switchover control from a HP to electric resistance and that it's only in place for emergency.  No savings attributed. </t>
  </si>
  <si>
    <t>Electric Heating Savings</t>
  </si>
  <si>
    <t>Fuel Heating Savings</t>
  </si>
  <si>
    <t>Project Savings - kBtu</t>
  </si>
  <si>
    <t>% building savins * area EUI * user selection in area * affected area *  % allocation * occ adjustment (of SOO and the occ schedule adjustment) * Ventilation adjustment (for DCV, DEEC, DAT reset - will zero out when no ventilation)</t>
  </si>
  <si>
    <t>ventilation</t>
  </si>
  <si>
    <t>cooling</t>
  </si>
  <si>
    <t>cooling. NOTE INCLUDES VENTILATION CHECK ROW 33</t>
  </si>
  <si>
    <t>cooling. NOTE INCLUDES VENTILATION CHECK ROW 34</t>
  </si>
  <si>
    <t>this is where HP heating at 7 days falls out</t>
  </si>
  <si>
    <t>NOTE INCLUDES VENTILATION CHECK ROW 33</t>
  </si>
  <si>
    <t>Subscription Optimization Savings</t>
  </si>
  <si>
    <t>Cooling</t>
  </si>
  <si>
    <t>These savings are for optimization sequences not accounted for in other eligible SOOs.  cooling savings from: CHW reset, DCV, Econ, DAT reset, CW reset</t>
  </si>
  <si>
    <t>Ventilation</t>
  </si>
  <si>
    <t>Total by savings type</t>
  </si>
  <si>
    <t>Cooling and Ventilation</t>
  </si>
  <si>
    <t>Electric heating</t>
  </si>
  <si>
    <t>fuel heating</t>
  </si>
  <si>
    <t>SOO Tally for incentives</t>
  </si>
  <si>
    <t>scheduling - Cooling</t>
  </si>
  <si>
    <t xml:space="preserve">this is used to set incentives.  Using a count of sequences that come through with savings, which means the equipment is used, the sequence is eligible, and the user selected the sequence.  </t>
  </si>
  <si>
    <t xml:space="preserve">scheduling - heating </t>
  </si>
  <si>
    <t># cooling/vent Savings SOO</t>
  </si>
  <si>
    <t>includes optimization and regular EE</t>
  </si>
  <si>
    <t># heating Savings SOO</t>
  </si>
  <si>
    <t>Savings Totals by Energy Type</t>
  </si>
  <si>
    <t>Electric for kW consideration</t>
  </si>
  <si>
    <t>Savings Totals by Energy Type - kWh and Therm Units</t>
  </si>
  <si>
    <t>Electric (kWh)</t>
  </si>
  <si>
    <t xml:space="preserve">These are used to populat a tab that summarizes the project.  Intent is to copy that into a consolidated spreadsheet to do analysis across projects. </t>
  </si>
  <si>
    <t>Fuel (therms)</t>
  </si>
  <si>
    <t>Reported Annual Savings - All zeroed out if missing key information or errors</t>
  </si>
  <si>
    <t>Savings Type</t>
  </si>
  <si>
    <t>Upgrade of Traditional BMS</t>
  </si>
  <si>
    <t>Unit</t>
  </si>
  <si>
    <t>ref # -&gt;</t>
  </si>
  <si>
    <t>kWh Considered for Peak Demand</t>
  </si>
  <si>
    <t>Exclude schedule and OSS since savings are off peak</t>
  </si>
  <si>
    <t>Summer Peak kW</t>
  </si>
  <si>
    <t>Winter Peak kW</t>
  </si>
  <si>
    <t>Fossil Fuel</t>
  </si>
  <si>
    <t>Gas Energy</t>
  </si>
  <si>
    <t>Therms</t>
  </si>
  <si>
    <t>Propane Energy</t>
  </si>
  <si>
    <t>Oil Energy</t>
  </si>
  <si>
    <t>Propane Gal</t>
  </si>
  <si>
    <t>Gallon</t>
  </si>
  <si>
    <t>Oil Gal</t>
  </si>
  <si>
    <t>Equipment and SOO Eligibility</t>
  </si>
  <si>
    <t>This table summarizes what sequences are eligible on what types of equipment</t>
  </si>
  <si>
    <t xml:space="preserve">The equipment and labeling here are used elsewhere in the tool in lookups and drop down menus.  All labeling should match to ensure lookups work properly.  </t>
  </si>
  <si>
    <t>References used to populate drop down menus</t>
  </si>
  <si>
    <t>Savings Reference</t>
  </si>
  <si>
    <t>Standard BMS SOO</t>
  </si>
  <si>
    <t>RCx Activity</t>
  </si>
  <si>
    <t>reference</t>
  </si>
  <si>
    <t>unique</t>
  </si>
  <si>
    <t>Table ref for primary heat drop down</t>
  </si>
  <si>
    <t>table ref for Vent drop down</t>
  </si>
  <si>
    <t>table ref for terminal unit drop down</t>
  </si>
  <si>
    <t>table ref for cooling drop down</t>
  </si>
  <si>
    <t>For heating - Relative efficiency compared to non-condensing boiler.  For other - reference to savings to be used</t>
  </si>
  <si>
    <t>Estimate of electric heat as % of building electric load</t>
  </si>
  <si>
    <t>Reduce over ventilation</t>
  </si>
  <si>
    <t>Reduce Simultaneous heating and cooling - Leaking Valve</t>
  </si>
  <si>
    <t>Reduce Simultaneous heating and cooling - Temperature Setpoints</t>
  </si>
  <si>
    <t>Reduce Steam Pressure</t>
  </si>
  <si>
    <t>ph</t>
  </si>
  <si>
    <t>Direct Expansion (ASHP, VRF, GSHP, AWHP)</t>
  </si>
  <si>
    <t>ah_full</t>
  </si>
  <si>
    <t>tu_full</t>
  </si>
  <si>
    <t>cc_full</t>
  </si>
  <si>
    <t>Central Cooling Type</t>
  </si>
  <si>
    <t>eq0</t>
  </si>
  <si>
    <t>cc</t>
  </si>
  <si>
    <t xml:space="preserve">Ventilation </t>
  </si>
  <si>
    <t>tu_centralized</t>
  </si>
  <si>
    <t>ah</t>
  </si>
  <si>
    <t>ah1</t>
  </si>
  <si>
    <t>ah2</t>
  </si>
  <si>
    <t>Decentralized Ventilation (Unit ventilator)</t>
  </si>
  <si>
    <t>tu_decentralized</t>
  </si>
  <si>
    <t>Back Up Heating Type (just for HP)</t>
  </si>
  <si>
    <t>bh</t>
  </si>
  <si>
    <t>electric back up to HP assumed to be emergency use only.  No significant savings on any sequence</t>
  </si>
  <si>
    <t>Terminal Units</t>
  </si>
  <si>
    <t>ph_full</t>
  </si>
  <si>
    <t>we are including the Tus list here, but will provide incentives based on the major equipment, not this list.  Therefore all of these have "0"</t>
  </si>
  <si>
    <t>tu</t>
  </si>
  <si>
    <t>ph_UV</t>
  </si>
  <si>
    <t>Air Conditioner (PTAC or AC)</t>
  </si>
  <si>
    <t>ph_other</t>
  </si>
  <si>
    <t>ph_VRF</t>
  </si>
  <si>
    <t>cc_VRF</t>
  </si>
  <si>
    <t>ph_WLHP</t>
  </si>
  <si>
    <t>Theoretical Savings</t>
  </si>
  <si>
    <t>Theoretical Savings - link to hidden tabs</t>
  </si>
  <si>
    <t>Occ Adjustments</t>
  </si>
  <si>
    <t>Heating or Cooling</t>
  </si>
  <si>
    <t>DX or HP</t>
  </si>
  <si>
    <t>Non-condensing boiler</t>
  </si>
  <si>
    <t>hard coded value</t>
  </si>
  <si>
    <t>VAV Air handler</t>
  </si>
  <si>
    <t>link to theoretical savings tab</t>
  </si>
  <si>
    <t>Assumptions for expanding the savings allocation beyond theoretical equipment list</t>
  </si>
  <si>
    <t>Ref</t>
  </si>
  <si>
    <t>cc1</t>
  </si>
  <si>
    <t>cc2</t>
  </si>
  <si>
    <t>7day</t>
  </si>
  <si>
    <t>5day</t>
  </si>
  <si>
    <t>link to assumptions tab</t>
  </si>
  <si>
    <t xml:space="preserve">If no mechanical ventilation identified or not included in project - take average cooling savings from where ventilation is included.  No theoretical difference in the cooling savings, although the allocated cooling differ between VAV and CV in this tool.  </t>
  </si>
  <si>
    <t>lookup value linked to other tabs</t>
  </si>
  <si>
    <t>unit vents usually have ECM, so set the savings equal to VAV</t>
  </si>
  <si>
    <t>used as a core reference table elsewhere</t>
  </si>
  <si>
    <t>assuming DOAS and AHU have same savings, varied by VAV vs CV</t>
  </si>
  <si>
    <t>HP savings = DX savings = VRF savings</t>
  </si>
  <si>
    <t>kWh/sqft</t>
  </si>
  <si>
    <t xml:space="preserve">Starting (non-condensing boiler, cooling, fans/pumps) theoretical savings taken from green tabs.  Represent maximum theoretical savings for each sequence for a "typical" building.  Theoretical savings represent the weights that will be used to distribute the Building Level % Saving across the sequences for different combinations of equipment. </t>
  </si>
  <si>
    <t>Adjustments for projects that don't have both ventilation and cooling</t>
  </si>
  <si>
    <t>Proportion of ventilation theoretical savings for combinations of equipment</t>
  </si>
  <si>
    <t>CV</t>
  </si>
  <si>
    <t>VAV</t>
  </si>
  <si>
    <t>Dx</t>
  </si>
  <si>
    <t>average</t>
  </si>
  <si>
    <t>average savings attributed to ventilation</t>
  </si>
  <si>
    <t>Proportion of cooling theoretical savings for combinations of equipment</t>
  </si>
  <si>
    <t>average savings attributed to cooling</t>
  </si>
  <si>
    <t>Savings Potential</t>
  </si>
  <si>
    <t xml:space="preserve">Savings potential is derived from billing analysis (see Building Savings tab) with some modifications for buildings with Chillers (+1% potential).  If users do not selecte either coolign or ventilation in a particular area, the savings potential will be reduced by the proportion of theoretical ventilation or cooling savings to the total theortical electric savings.  </t>
  </si>
  <si>
    <t>Electric, non-chiller</t>
  </si>
  <si>
    <t>Electric, Chiller</t>
  </si>
  <si>
    <t>No Cooling equip selected - Vent savings potential only</t>
  </si>
  <si>
    <t xml:space="preserve">No ventilation selected - cooling savings potential </t>
  </si>
  <si>
    <t>Mix of BMS Project Type</t>
  </si>
  <si>
    <t>formatting project inputs and results to pull into separate file for project comparisons</t>
  </si>
  <si>
    <t>annual consumption</t>
  </si>
  <si>
    <t>Project Sequence Counts</t>
  </si>
  <si>
    <t>Optimization</t>
  </si>
  <si>
    <t>Savings</t>
  </si>
  <si>
    <t>index</t>
  </si>
  <si>
    <t>App</t>
  </si>
  <si>
    <t>sqft controlled</t>
  </si>
  <si>
    <t>bld sqft</t>
  </si>
  <si>
    <t>Project type</t>
  </si>
  <si>
    <t>Cost</t>
  </si>
  <si>
    <t xml:space="preserve">therm </t>
  </si>
  <si>
    <t>Therm</t>
  </si>
  <si>
    <t>Incentive</t>
  </si>
  <si>
    <t>% Electric Incentive Allocation</t>
  </si>
  <si>
    <t>sequence count for each area and sequence</t>
  </si>
  <si>
    <t>Area</t>
  </si>
  <si>
    <t>Tables referenced in drop downs</t>
  </si>
  <si>
    <t>Drop Down Tables</t>
  </si>
  <si>
    <t xml:space="preserve">Building Schedule </t>
  </si>
  <si>
    <t>Building Schedule #</t>
  </si>
  <si>
    <t>24/7 Operation</t>
  </si>
  <si>
    <t>updated this reference to 0</t>
  </si>
  <si>
    <t>7 Day with Unoccupied Nights</t>
  </si>
  <si>
    <t>Heating Fuel</t>
  </si>
  <si>
    <t>Input Units</t>
  </si>
  <si>
    <t>Result Units</t>
  </si>
  <si>
    <t>Propane</t>
  </si>
  <si>
    <t>Gallons</t>
  </si>
  <si>
    <t>Oil</t>
  </si>
  <si>
    <t>N/A - Electric heating</t>
  </si>
  <si>
    <t>Incentive sought for installation of a new traditional BMS.  May include replacing decentralized control system without trend capabilities OR replacement of an existing BMS that is over 15 years old.  Does not include adding new sequences to an existing BMS.</t>
  </si>
  <si>
    <t>Incentives sought to optimize existing sequences or add new sequences to an existing traditional BMS</t>
  </si>
  <si>
    <t>Incentives sought for a project that includes partial system replacement with improvements to existing BMS.  Project type will be specified in each project area below.</t>
  </si>
  <si>
    <t>Electric PA List:</t>
  </si>
  <si>
    <t>National Grid Electric - MA</t>
  </si>
  <si>
    <t>Unitil Electric</t>
  </si>
  <si>
    <t>Cape Light Compact</t>
  </si>
  <si>
    <t>None/Default/Muni</t>
  </si>
  <si>
    <t>Gas PA List:</t>
  </si>
  <si>
    <t>NiSource Gas (Columbia Gas)</t>
  </si>
  <si>
    <t>Berkshire Gas</t>
  </si>
  <si>
    <t>Unitil Gas</t>
  </si>
  <si>
    <t>Liberty Gas</t>
  </si>
  <si>
    <t>None</t>
  </si>
  <si>
    <t>MRD Requirements by SOO</t>
  </si>
  <si>
    <t>Data Verification Requirements</t>
  </si>
  <si>
    <t xml:space="preserve">
System Schedules and Unoccupied Setbacks</t>
  </si>
  <si>
    <t xml:space="preserve">
Optimal Start/Stop</t>
  </si>
  <si>
    <t xml:space="preserve">
Reset Chilled Water Temperature</t>
  </si>
  <si>
    <t xml:space="preserve">
Supply Air Static Pressure Reset</t>
  </si>
  <si>
    <t xml:space="preserve">
Reset Boiler Water Temperature</t>
  </si>
  <si>
    <t xml:space="preserve">
Demand Control Ventilation (DCV)</t>
  </si>
  <si>
    <t xml:space="preserve">
Economizer Control - Dry Bulb or Dual Enthalpy</t>
  </si>
  <si>
    <t xml:space="preserve">
Discharge Air Temperature Reset</t>
  </si>
  <si>
    <t xml:space="preserve">
Reset Condenser Water Temperature</t>
  </si>
  <si>
    <t>trends</t>
  </si>
  <si>
    <t xml:space="preserve">
- Space temperature setpoint(s)
- Space temperature(s) for 10% of space 
- On/Off status of supply fan on each air handler</t>
  </si>
  <si>
    <t xml:space="preserve">
- On/Off status </t>
  </si>
  <si>
    <t xml:space="preserve">
- Chilled water supply temperature
- Chilled water supply setpoints
- Outdoor air temperature</t>
  </si>
  <si>
    <t xml:space="preserve">
- Discharge static pressure(s)
- Static pressure setpoint(s)
- Supply fan speed(s)
- Virtual calculated feedback point indicating average VAV box damper position OR damper signal of each box associated with air handler</t>
  </si>
  <si>
    <t xml:space="preserve">
- Hot water supply temperature
- Hot water supply setpoints
- Outdoor air temperature</t>
  </si>
  <si>
    <t xml:space="preserve">
- Measured CO2 levels (return air or space(s))
- Outdoor air damper signal
- Air handler/room occupancy status</t>
  </si>
  <si>
    <t xml:space="preserve">
- Outdoor air damper position
- Outdoor air temperature (or enthalpy)
- Return air temperature (or enthalpy)
- Discharge air temperature
- Discharge air temperature setpoint
- Mixed air temperatures
- Cooling valve signal</t>
  </si>
  <si>
    <t xml:space="preserve">
- Discharge air temperature
- Discharge air temperature setpoint
- Return air temperature
- Outdoor air temperature
- Heating status / valve signal
- Cooling status / valve signal</t>
  </si>
  <si>
    <t xml:space="preserve">
- Condenser water supply temperature (leaving chiller)
- Condenser water supply temperature setpoint
- Outdoor air temperature
- Chiller On/Off status
- Cooling tower fan On/Off status</t>
  </si>
  <si>
    <t>screenshots/other</t>
  </si>
  <si>
    <t xml:space="preserve">
- Building schedule
- Occupied and unoccupied space temperature setpoints</t>
  </si>
  <si>
    <t xml:space="preserve">
- Building schedule
- Major equipment involved with optimal start/stop</t>
  </si>
  <si>
    <t xml:space="preserve">
- Minimum and maximum chilled water supply temperature setpoints</t>
  </si>
  <si>
    <t xml:space="preserve">
- Minimum and maximum static pressure setpoints
- Boxes associated with each involved air handler</t>
  </si>
  <si>
    <t xml:space="preserve">
- Minimum and maximum hot water supply setpoints</t>
  </si>
  <si>
    <t xml:space="preserve">
- Low and high space CO2 thresholds</t>
  </si>
  <si>
    <t xml:space="preserve">
- No other requirements</t>
  </si>
  <si>
    <t xml:space="preserve">
- Minimum and maximum discharge temperature setpoints</t>
  </si>
  <si>
    <t xml:space="preserve">
- Minimum and maximum condenser water supply temperature setpoints</t>
  </si>
  <si>
    <t>Reference Tables for Drop Downs</t>
  </si>
  <si>
    <t>drop down references -&gt; the list name is indicated on the Project Savings tab, which is referenced with the indirect function on the data validation list</t>
  </si>
  <si>
    <t>Text must match the Equipment and SOO exactly!</t>
  </si>
  <si>
    <t>First equipment selected is ventilation</t>
  </si>
  <si>
    <t>Drop down populated from the Equipment table list directly</t>
  </si>
  <si>
    <t>How is the space ventilated?</t>
  </si>
  <si>
    <t>Centralized ventilation</t>
  </si>
  <si>
    <t>Decentralized ventilation</t>
  </si>
  <si>
    <t>No Mechanical Ventilation</t>
  </si>
  <si>
    <t>NA ventilation</t>
  </si>
  <si>
    <t>Second equipment selected - TU options based on ventilation selection</t>
  </si>
  <si>
    <t>Ref Table Name</t>
  </si>
  <si>
    <t>none</t>
  </si>
  <si>
    <t>TU_full</t>
  </si>
  <si>
    <t>Drop Down values</t>
  </si>
  <si>
    <t>Third equipment selected - primary heating based on TU selection</t>
  </si>
  <si>
    <t>Drop down values</t>
  </si>
  <si>
    <t>Final selection - primary cooling based on TU</t>
  </si>
  <si>
    <t>Primary Heating Selection</t>
  </si>
  <si>
    <t>Air Source Heat Pump</t>
  </si>
  <si>
    <t>VRF or VRV System</t>
  </si>
  <si>
    <t>Water Loop</t>
  </si>
  <si>
    <t xml:space="preserve">Other heating </t>
  </si>
  <si>
    <t>Primary Cooling Drop Down</t>
  </si>
  <si>
    <t>Direct Expansion (DX)</t>
  </si>
  <si>
    <t xml:space="preserve">The table below outlines and justifies assumptions used throughout the analysis. </t>
  </si>
  <si>
    <t>Type of Assumption</t>
  </si>
  <si>
    <t>Assumption</t>
  </si>
  <si>
    <t>Sequence used</t>
  </si>
  <si>
    <t>Notes/Justification</t>
  </si>
  <si>
    <t>Last updated</t>
  </si>
  <si>
    <t>EUI</t>
  </si>
  <si>
    <t>Building characteristic</t>
  </si>
  <si>
    <t>Electric EUI - Cooling only</t>
  </si>
  <si>
    <t>DCV, CHW reset</t>
  </si>
  <si>
    <t>2018 CBECs.  Average major fuel energy used for cooling (MFCLBTU/SQFT) for buildings in Northeast, 5,000-200,000 sqft.  See "2018_cbecs_NE_for_2023_BMS_Calculator.xls" for analysis.</t>
  </si>
  <si>
    <t>Heating EUI - Poorly controlled building</t>
  </si>
  <si>
    <t>Schedule/setback</t>
  </si>
  <si>
    <t xml:space="preserve">Engineering assumption - represents "high" EUI for buildings based on program experience and in line with CBECS data.  </t>
  </si>
  <si>
    <t>Heating EUI - average for qualified buildings</t>
  </si>
  <si>
    <t>HW reset</t>
  </si>
  <si>
    <t>Average CBECS major fuel heating EUI (MFHTBTU/SQFT) for New England, buildings between 5,000 - 200,000 sqft.  See "2018_cbecs_NE_for_2023_BMS_Calculator.xls" for analysis.</t>
  </si>
  <si>
    <t>Design Flow Rate - CV</t>
  </si>
  <si>
    <t>CFM/sqft</t>
  </si>
  <si>
    <t>Schedule/setback, OSS, DCV</t>
  </si>
  <si>
    <t>Design Flow Rate - VAV</t>
  </si>
  <si>
    <t>Schedule/setback, SPR</t>
  </si>
  <si>
    <t>Engineering assumption that the VAV will provide average of 70% reduced flow from CV</t>
  </si>
  <si>
    <t>Static pressure at AHU - CV</t>
  </si>
  <si>
    <t>"wc</t>
  </si>
  <si>
    <t xml:space="preserve">Value recommended by Cadeo after BMS tool review.  See "MA CI - BMS Review Findings_02Aug2022.docx" for more information. </t>
  </si>
  <si>
    <t>Static pressure at AHU - VAV</t>
  </si>
  <si>
    <t>OSS</t>
  </si>
  <si>
    <t>Fan BPp - CV</t>
  </si>
  <si>
    <t>Schedule/setback, OSS</t>
  </si>
  <si>
    <t>Fan BPp - VAV</t>
  </si>
  <si>
    <t>Schedule/setback, OSS, SPR</t>
  </si>
  <si>
    <t>Average VAV turndown</t>
  </si>
  <si>
    <t>% OA - Design</t>
  </si>
  <si>
    <t>DCV (indirect, included in the OA flow rate)</t>
  </si>
  <si>
    <t>Per ASHREA 62.1, Table 6-1 - using 15% OA for reasonable average ventilation requirement for all building types</t>
  </si>
  <si>
    <t>% OA in Heating Mode - CV</t>
  </si>
  <si>
    <t>Schedule/setback, DCV</t>
  </si>
  <si>
    <t>Maintain design % OA</t>
  </si>
  <si>
    <t>% OA in Heating Mode - VAV</t>
  </si>
  <si>
    <t>During heating it is common practice to reduce supply air CFM by about 50% for VAV systems.  Given that OA CFM must be maintained, the overall % OA will increase.</t>
  </si>
  <si>
    <t>Equipment Efficiencies</t>
  </si>
  <si>
    <t>Fan Efficiency</t>
  </si>
  <si>
    <t>SPR, indirectly to BPp for schedule, OSS</t>
  </si>
  <si>
    <t>Motor Efficiency</t>
  </si>
  <si>
    <t>Drive Efficiency</t>
  </si>
  <si>
    <t>Motor Efficiency @ average turndown</t>
  </si>
  <si>
    <t>Drive Efficiency @ average trundown</t>
  </si>
  <si>
    <t>Steam Boiler Efficiency</t>
  </si>
  <si>
    <t>OSS, HW reset, DCV</t>
  </si>
  <si>
    <t>Steam boilers not listed in the baseline saturation study cited for other boiler efficieicnies.  The Gas Boiler Market Characteristic study (https://ma-eeac.org/wp-content/uploads/Gas-Boiler-Market-Characterization-Study-Phase-II-Final-Report.pdf) mentions in a footnote that of the 130 steam boilers in the data they all had eff less than 80%.  75% used here until better recommendation provided by evaluation.</t>
  </si>
  <si>
    <t>Non-Condensing Boiler Efficiency</t>
  </si>
  <si>
    <t>OSS, HW reset, DCV, DAT Reset</t>
  </si>
  <si>
    <t xml:space="preserve">Massachusetts C&amp;I Customer On-Site Baseline Saturation Study.  DNV. August 2021. (https://ma-eeac.org/wp-content/uploads/MA19C09-B-BSLNSAT_Report_final_08132021.pdf) Table 5-11.  Majority of non-condensing boilers between 0.8-0.849, take mid point.  </t>
  </si>
  <si>
    <t>Condensing Boiler Efficiency</t>
  </si>
  <si>
    <t xml:space="preserve">Massachusetts C&amp;I Customer On-Site Baseline Saturation Study.  DNV. August 2021. (https://ma-eeac.org/wp-content/uploads/MA19C09-B-BSLNSAT_Report_final_08132021.pdf)  Table 5-11.  Majority of condensing boilers between 0.9-0.949, take mid point.  </t>
  </si>
  <si>
    <t>Furnace Efficiency</t>
  </si>
  <si>
    <t>Project Savings tab</t>
  </si>
  <si>
    <t>Massachusetts C&amp;I Customer On-Site Baseline Saturation Study.  DNV. August 2021. (https://ma-eeac.org/wp-content/uploads/MA19C09-B-BSLNSAT_Report_final_08132021.pdf)  Table 5-19.  61% of furnaces are between 91-95% AFUE.</t>
  </si>
  <si>
    <t>Heat Pump Heating COP</t>
  </si>
  <si>
    <t xml:space="preserve">Massachusetts C&amp;I Customer On-Site Baseline Saturation Study.  DNV. August 2021. (https://ma-eeac.org/wp-content/uploads/MA19C09-B-BSLNSAT_Report_final_08132021.pdf)  Table 5-30. 49% of heat pump COPs are between 3.5-4.2, 33% are less than 3, 15% are above 4.2.  COP of 3.5 used as a reasonable middle ground.  However, efficiency values provided (47F performance) and MA heating season is colder.  PA engineering team suggested COP 3 as better in field performance value. </t>
  </si>
  <si>
    <t xml:space="preserve">Chiller IPLV </t>
  </si>
  <si>
    <t>kW/ton</t>
  </si>
  <si>
    <t>DAT reset, CW reset</t>
  </si>
  <si>
    <t xml:space="preserve">approximately code-efficient unit.  Used in ESPO custom express tools. </t>
  </si>
  <si>
    <t>Temperatures</t>
  </si>
  <si>
    <t>Chiller Plant Design OA Temperature</t>
  </si>
  <si>
    <t>deg F</t>
  </si>
  <si>
    <t>Chiller eff improved per degree F of DAT reset</t>
  </si>
  <si>
    <t>Chiller oversize factor</t>
  </si>
  <si>
    <t>Average CV &amp; VAV (occ/unocc) Building Balance Point, F (averaging CV and VAV balance pointsocc and unocc)</t>
  </si>
  <si>
    <t>DAT reset</t>
  </si>
  <si>
    <t>Cooling Mode - OAT upper limit, degree F (at this OAT, the DAT reset is permitted; DAT is at the lower limit)</t>
  </si>
  <si>
    <t>Cooling Mode - OAT lower limit, degree F (at this OAT, the DAT is at the higher limit)</t>
  </si>
  <si>
    <t>sqft per ton Chiller sizing- based on 1 ton/ 450 square feet</t>
  </si>
  <si>
    <t>ton/sqft</t>
  </si>
  <si>
    <t>Cooling mode - Baseline discharge air temp</t>
  </si>
  <si>
    <t>Cooling mode - Discharge Air Temperature upper limit, degree F (maximum DAT allowed by customer)</t>
  </si>
  <si>
    <t>Minimum outdoor air temperature for chiller operation (below this temperature, there is no need for the chiller to run)</t>
  </si>
  <si>
    <t>Chiller Capacity</t>
  </si>
  <si>
    <t>tons</t>
  </si>
  <si>
    <t>Boiler Plant design OA Temperature, degree F</t>
  </si>
  <si>
    <t>Boiler efficiency improved per degree F of DAT reset</t>
  </si>
  <si>
    <t>Boiler oversize factor</t>
  </si>
  <si>
    <t>Heating Mode - OAT upper limit, degree F (at this OAT, the DAT reset is permitted; DAT is at the lower limit)</t>
  </si>
  <si>
    <t>Heating Mode - OAT lower limit, degree F (at this OAT, the DAT is at the higher limit)</t>
  </si>
  <si>
    <t>Heating mode - Baseline discharge air temp</t>
  </si>
  <si>
    <t xml:space="preserve">Heating mode - Discharge Air Temperature lower limit, degree F (minimum DAT allowed by customer) </t>
  </si>
  <si>
    <t>Boiler lockout outdoor air temperature (above this temperature, the boiler does not run), degree F</t>
  </si>
  <si>
    <t xml:space="preserve">BTUh per square foot Boiler sizing </t>
  </si>
  <si>
    <t>Btuh/sqft</t>
  </si>
  <si>
    <t>Boiler Capacity / sqft, in MBH</t>
  </si>
  <si>
    <t>MBtuh/sqft</t>
  </si>
  <si>
    <t>Condenser Water Temperature Approach, degree F</t>
  </si>
  <si>
    <t>CW reset</t>
  </si>
  <si>
    <t>Existing Leaving Condenser Water Temperature (LCWT).</t>
  </si>
  <si>
    <t>Return Air Temperature</t>
  </si>
  <si>
    <t>Industry average for return air temperature</t>
  </si>
  <si>
    <t>Return Air Temperature - building warm up</t>
  </si>
  <si>
    <t xml:space="preserve">Lower than RAT used for Schedule/setbacks since building will be colder during warm up. </t>
  </si>
  <si>
    <t>Discharge Air Temperature</t>
  </si>
  <si>
    <t>Base Heating Set point - Occupied</t>
  </si>
  <si>
    <t>Base Heating Set point - Unoccupied</t>
  </si>
  <si>
    <t>Assume 2 degree setback for heating in baseline</t>
  </si>
  <si>
    <t>Balance point - CV, Occupied</t>
  </si>
  <si>
    <t>Schedule/setback, DCV, DAT reset</t>
  </si>
  <si>
    <t>DAT reset uses average of occ, unocc and CV/VAV</t>
  </si>
  <si>
    <t>Balance point - CV, Unoccupied</t>
  </si>
  <si>
    <t>Schedule/setback, DAT reset</t>
  </si>
  <si>
    <t>Balance point - VAV, Occupied</t>
  </si>
  <si>
    <t>Balance point - VAV, Unoccupied</t>
  </si>
  <si>
    <t>Proposed Heating Set Point - Unoccupied</t>
  </si>
  <si>
    <t xml:space="preserve">Proposed Heating Balance point - Unoccupied </t>
  </si>
  <si>
    <t>Other Sequence Assumptions</t>
  </si>
  <si>
    <t>Heating System Distribution Losses</t>
  </si>
  <si>
    <t>HW Reset</t>
  </si>
  <si>
    <t xml:space="preserve">Engineering judgement for typical losses. </t>
  </si>
  <si>
    <t>Hydronic line temp - no OA reset, non cond boiler</t>
  </si>
  <si>
    <t>Hydronic line temp - with OA reset, non cond boiler</t>
  </si>
  <si>
    <t>Hydronic line temp - no OA reset, cond boiler</t>
  </si>
  <si>
    <t>Hydronic line temp - with OA reset, cond boiler</t>
  </si>
  <si>
    <t># hours reduced with OSS per day</t>
  </si>
  <si>
    <t>hour/day</t>
  </si>
  <si>
    <t xml:space="preserve">Engineering judgement for typical reduction </t>
  </si>
  <si>
    <t>Base case fan run hours</t>
  </si>
  <si>
    <t>hours/year</t>
  </si>
  <si>
    <t>Assume 4 hours unoccupied every day</t>
  </si>
  <si>
    <t>Heating Hours/year</t>
  </si>
  <si>
    <t>Represents full heating season operation.  Aligned with evaluation of steam traps. https://ma-eeac.org/wp-content/uploads/MA-CIEC-Stage-5-Final-Report-MA20C05-G-STBE-FINAL-20201020.pdf</t>
  </si>
  <si>
    <t>Heating weeks/year</t>
  </si>
  <si>
    <t>weeks/year</t>
  </si>
  <si>
    <t>Temp contribution - people and lighting</t>
  </si>
  <si>
    <t>only during occupied hours</t>
  </si>
  <si>
    <t>Temp contribution - plug load</t>
  </si>
  <si>
    <t>during all hours</t>
  </si>
  <si>
    <t>% Time Building has Low Occupancy</t>
  </si>
  <si>
    <t>DCV</t>
  </si>
  <si>
    <t xml:space="preserve">It is conservative to assume that the building will have low occupancy 20% of the occupied building hrs time. </t>
  </si>
  <si>
    <t>% of eligible cooling not locked out by economizer</t>
  </si>
  <si>
    <t xml:space="preserve">Estimated percentage of time the return air temp comparison to the outside air temp will not enable the economizer mode/open the OA damper. </t>
  </si>
  <si>
    <t>% Reduction in Cooling</t>
  </si>
  <si>
    <t>Assumed reduction of mechanical cooling as a result of economizer over DCV</t>
  </si>
  <si>
    <t>% time site qualifies for DCV</t>
  </si>
  <si>
    <t>This worksheet assumed DCV could be implemented 20% of the time. This 20% is representative of times when DCV overrides the economizer mode in other words, the temperature or enthalpy conditions are not eligible to open the OA damper due to economizing, but the OA damper would open because the concentration of CO2 is in the space is high enough to open the outside air damper.</t>
  </si>
  <si>
    <t>Ave Temp Increase in Chilled Water</t>
  </si>
  <si>
    <t>CHW reset</t>
  </si>
  <si>
    <t>Reduced Compressor power/deg</t>
  </si>
  <si>
    <t>% Cooling energy from compressor</t>
  </si>
  <si>
    <t>Cooling hours for CHW reset</t>
  </si>
  <si>
    <t>Total Cooling Hours</t>
  </si>
  <si>
    <t>% Savings</t>
  </si>
  <si>
    <t>SPR</t>
  </si>
  <si>
    <t>Environmental Security Technology Certification Program for Dept of Defense Demonstration of Energy Savings for Commercial Buildings for Tiered Trim and Response Method of Resetting Static Pressure for VAV Systems March, 2017.  https://apps.dtic.mil/sti/pdfs/AD1034401.pdf</t>
  </si>
  <si>
    <t>Fan run hours</t>
  </si>
  <si>
    <t>hours</t>
  </si>
  <si>
    <t>See TMY3 data table from Schedule tab - occupied + unoccuied fan hours</t>
  </si>
  <si>
    <t>Adjustment</t>
  </si>
  <si>
    <t xml:space="preserve">There are multiple reasons why Static Pressure Reset may not work to design.  If one space is continually drawing most of the airflow, the system maynot be able to reduce airflow enough for reset to occur.  If the dampers are poorly maintained and prone to stick, reset may not occur.  If the BMS is a mixture of platforms and do not communicate well throughout the site, reset will be sporatic.   All of these reasons occur sufficiently that an expectation of 100% at design is unrealistically optimistic.   Consequently we accepted 70% of potential savings. </t>
  </si>
  <si>
    <t>Savings Factor Adjustments</t>
  </si>
  <si>
    <t>Conversion</t>
  </si>
  <si>
    <t>kWh to Btu Conversion</t>
  </si>
  <si>
    <t>Btu/kwh</t>
  </si>
  <si>
    <t>Btu to Mbtu</t>
  </si>
  <si>
    <t>kbtu/Btu</t>
  </si>
  <si>
    <t>Project Savings tab, DAT reset</t>
  </si>
  <si>
    <t>MBtu = 1 MMBtu</t>
  </si>
  <si>
    <t>Mbtu/MMBtu</t>
  </si>
  <si>
    <t xml:space="preserve">Schedule adjustment - 5 to 7 day operation </t>
  </si>
  <si>
    <t>Ratio of 5 to 7 days</t>
  </si>
  <si>
    <t>Project Calculations</t>
  </si>
  <si>
    <t>MMBtu to therm</t>
  </si>
  <si>
    <t>Gal Oil to kbtu</t>
  </si>
  <si>
    <t>kbtu/gal oil</t>
  </si>
  <si>
    <t>https://www.eia.gov/energyexplained/units-and-calculators/british-thermal-units.php</t>
  </si>
  <si>
    <t>Gal Propane to MMbtu</t>
  </si>
  <si>
    <t>kbtu/gal propane</t>
  </si>
  <si>
    <t>Base % Building Electric Savings</t>
  </si>
  <si>
    <t xml:space="preserve">See "Building Savings" tab for billing analysis. </t>
  </si>
  <si>
    <t>Base % Building Gas Savings</t>
  </si>
  <si>
    <t xml:space="preserve">Additional % Savings for Ongoing Optimization </t>
  </si>
  <si>
    <t>Program assumption.  Attributes small additional savings for systems that optimize control over time through machine learning, AI, etc.  Applies to Subscription Based Controls only</t>
  </si>
  <si>
    <t>Added % savings potential for chiller</t>
  </si>
  <si>
    <t>Program assumption</t>
  </si>
  <si>
    <t>Default assumed % of annual fuel consumption used for base load</t>
  </si>
  <si>
    <t>CBECS 2018, Table E7.  % of Total natural gas consumption for Space Heating in New England is 72%.</t>
  </si>
  <si>
    <t>Default % electric energy used for heating in buildings with heat pumps</t>
  </si>
  <si>
    <t>CBECS 2018 analysis of microdata.  Value developed based on buidlings in New England (Region = 1), electric system for primary heat (ELHT1 = 1).  12% is the ratio electric energy used for heating (ELHT) compared to total electric consumption (ELCN), weighted by building area.  Note that the data is available for buildings that use HPs (MAINHT = 11), but the result included only 11 buildings and was not as conservative a result as the average overall.  The HP result was 6%, which if used in this tool would not impact heating saving (since there are no heating savings counted for HPs), but higher cooling/fan savings (since the cooling/fan savings would apply to 94% of the building electric consumption if we assume 6% electric energy used for heating).   See "2018_cbecs_NE_for_2023_BMS_Calculator.xls" for analysis.</t>
  </si>
  <si>
    <t>Default % electric energy used for heating in buildings with electric resistance</t>
  </si>
  <si>
    <t>CBECS 2018 analysis of microdata.  Value developed based on buidlings in New England (Region = 1), electric system for primary heat (ELHT1 = 1).  21% is the ratio electric energy used for heating (ELHT) compared to total electric consumption (ELCN), weighted by building area, for electric furnaces, electric packaged units, and electric boilers (MAINHT = 1, 2, 3, respectively).  The value aligns fairly well with a rule of thumb that buildings use 20% of energy for heating in the northeast.  See "2018_cbecs_NE_for_2023_BMS_Calculator.xls" for analysis.</t>
  </si>
  <si>
    <t xml:space="preserve">% Energy Savings during Summer On Peak </t>
  </si>
  <si>
    <t>2022-2024 Statewide Electric BC Model.  C&amp;I Heating &amp; Cooling Loadshape.  Summer On Peak is defined as the period between 7am - 11pm, M-F, June-Sept, excluding holidays</t>
  </si>
  <si>
    <t xml:space="preserve">% Energy Savings during Winter On Peak </t>
  </si>
  <si>
    <t>2022-2024 Statewide Electric BC Model.  C&amp;I Heating &amp; Cooling Loadshape.  Winter On Peak is defined as the period between 7am - 11pm, M-F, Oct-May, excluding holidays</t>
  </si>
  <si>
    <t>Hours in Summer On Peak Period</t>
  </si>
  <si>
    <t>Hours in Winter On Peak Period</t>
  </si>
  <si>
    <t>Summer kW, Winter kW, Gas Heating, Annual kWh</t>
  </si>
  <si>
    <t>varies</t>
  </si>
  <si>
    <t>$/savings</t>
  </si>
  <si>
    <t xml:space="preserve">Benefits are estimated based on 2024 avoided costs and the prescriptive BMS loadshape.  See "Estimate_Allocation_gas_electric_benefits_2024.xlsx" for estimate of avoided costs. </t>
  </si>
  <si>
    <t>Citation TBD - approved by EMV February 2024</t>
  </si>
  <si>
    <t>ERS Measure Life Study, 2005</t>
  </si>
  <si>
    <t>1-5</t>
  </si>
  <si>
    <t>Measure life will depend on how many years project has been pre-paid, up to 5 years</t>
  </si>
  <si>
    <t>Project Trend Requirements</t>
  </si>
  <si>
    <t>Application:</t>
  </si>
  <si>
    <t>Trend data and screenshots are required to verify that implemented sequences align with design expectations. Trends and screenshots must be collected for all major equipment affected by the sequence while the building is operating. Three weeks of trends at 15 to 30 minute intervals must be provided to the Program Administrator in an Excel (.xls) file upon request. All projects must provide a trend report and all requested screenshots as part of the project documentation.</t>
  </si>
  <si>
    <t xml:space="preserve"> All trends requested subject to program approval and modification.  Final trend requirements will be specified and require customer and vendor signature of acknowledgement prior to project approval.  </t>
  </si>
  <si>
    <t>Verification Requirements by Sequence</t>
  </si>
  <si>
    <t>Sequence</t>
  </si>
  <si>
    <t>In Project?</t>
  </si>
  <si>
    <t>Data Requirements</t>
  </si>
  <si>
    <t>Trends</t>
  </si>
  <si>
    <t>Screenshots &amp; Other</t>
  </si>
  <si>
    <t>- Space temperature setpoint(s)
- Space temperature(s) for 10% of space 
- On/Off status of supply fan on each air handler</t>
  </si>
  <si>
    <t>Include noted data points as well as:
- Building schedule
- Occupied and unoccupied space temperature setpoints</t>
  </si>
  <si>
    <t>- On/Off status of major equipment (include as applicable: air handlers, boilers, furnaces, chillers)</t>
  </si>
  <si>
    <t>Include noted data points as well as:
- Building schedule
- Major equipment involved with optimal start/stop</t>
  </si>
  <si>
    <t>- Chilled water supply temperature
- Chilled water supply setpoints
- Outdoor air temperature</t>
  </si>
  <si>
    <t>Include noted data points as well as:
- Minimum and maximum chilled water supply temperature setpoints</t>
  </si>
  <si>
    <t>Supply Air Static Pressure Reset</t>
  </si>
  <si>
    <t>- Discharge static pressure(s)
- Static pressure setpoint(s)
- Supply fan speed(s)
- Virtual calculated feedback point indicating average VAV box damper position OR damper signal of each box associated with air handler</t>
  </si>
  <si>
    <t>Include noted data points as well as:
- Minimum and maximum static pressure setpoints
- Boxes associated with each involved air handler</t>
  </si>
  <si>
    <t>- Hot water supply temperature
- Hot water supply setpoints
- Outdoor air temperature</t>
  </si>
  <si>
    <t>Include noted data points as well as:
- Minimum and maximum hot water supply setpoints</t>
  </si>
  <si>
    <t>Demand Control Ventilation (DCV)</t>
  </si>
  <si>
    <t>- Measured CO2 levels (return air or space(s))
- Outdoor air damper signal
- Air handler/room occupancy status</t>
  </si>
  <si>
    <t>Include noted data points as well as:
- Low and high space CO2 thresholds</t>
  </si>
  <si>
    <t>- Outdoor air damper position
- Outdoor air temperature (or enthalpy)
- Return air temperature (or enthalpy)
- Discharge air temperature
- Discharge air temperature setpoint
- Mixed air temperatures
- Cooling valve signal</t>
  </si>
  <si>
    <t>Include noted data points</t>
  </si>
  <si>
    <t>Discharge Air Temperature Reset</t>
  </si>
  <si>
    <t>- Discharge air temperature
- Discharge air temperature setpoint
- Return air temperature
- Outdoor air temperature
- Heating status / valve signal
- Cooling status / valve signal</t>
  </si>
  <si>
    <t>Include noted data points as well as:
- Minimum and maximum discharge temperature setpoints</t>
  </si>
  <si>
    <t>- Condenser water supply temperature (leaving chiller)
- Condenser water supply temperature setpoint
- Outdoor air temperature
- Chiller On/Off status
- Cooling tower fan On/Off status</t>
  </si>
  <si>
    <t>Include noted data points as well as:
- Minimum and maximum condenser water supply temperature setpoints</t>
  </si>
  <si>
    <r>
      <rPr>
        <b/>
        <sz val="12"/>
        <color theme="1"/>
        <rFont val="Calibri"/>
        <family val="2"/>
        <scheme val="minor"/>
      </rPr>
      <t>Purpose</t>
    </r>
    <r>
      <rPr>
        <sz val="11"/>
        <color theme="1"/>
        <rFont val="Calibri"/>
        <family val="2"/>
        <scheme val="minor"/>
      </rPr>
      <t xml:space="preserve">:  This table summarizes the billing analysis performed by Mike Mills (Eversource) on past EMS projects.  All billing data and projects are pre-covid.  Electric consumption is not weather normalized, gas consumption is weather normalized.  </t>
    </r>
  </si>
  <si>
    <t>Annual Electric  (kWh)</t>
  </si>
  <si>
    <t>Annual Gas (therm)</t>
  </si>
  <si>
    <t>Pre Energy Usage Intensity</t>
  </si>
  <si>
    <t>Project #</t>
  </si>
  <si>
    <t>Building Type</t>
  </si>
  <si>
    <t>Project Area (sqft)</t>
  </si>
  <si>
    <t>Savings Category</t>
  </si>
  <si>
    <t>Pre Consumption</t>
  </si>
  <si>
    <t xml:space="preserve">Post Consumption </t>
  </si>
  <si>
    <t>Bill Savings</t>
  </si>
  <si>
    <t>Pre - Wx Normalized</t>
  </si>
  <si>
    <t>Post - Wx Normalized</t>
  </si>
  <si>
    <t>Bill Savings - Wx Normalized</t>
  </si>
  <si>
    <t>Electric (kWh/sqft)</t>
  </si>
  <si>
    <t>Gas (therm/sqft)</t>
  </si>
  <si>
    <t>Library</t>
  </si>
  <si>
    <t>Cooling, pumps/fans</t>
  </si>
  <si>
    <t>4a</t>
  </si>
  <si>
    <t>Office</t>
  </si>
  <si>
    <t>Senior Center</t>
  </si>
  <si>
    <t>Town Hall</t>
  </si>
  <si>
    <t>4b</t>
  </si>
  <si>
    <t>School</t>
  </si>
  <si>
    <t>Retail</t>
  </si>
  <si>
    <t>Summary</t>
  </si>
  <si>
    <t>Gas (therms)</t>
  </si>
  <si>
    <t>Row Labels</t>
  </si>
  <si>
    <t>Count of Project #</t>
  </si>
  <si>
    <t>Sum of Project Area (sqft)</t>
  </si>
  <si>
    <t>Sum of Pre Consumption</t>
  </si>
  <si>
    <t>Sum of Bill Savings</t>
  </si>
  <si>
    <t>Sum of Pre - Wx Normalized</t>
  </si>
  <si>
    <t>Sum of Bill Savings - Wx Normalized</t>
  </si>
  <si>
    <t>Grand Total</t>
  </si>
  <si>
    <t>Results</t>
  </si>
  <si>
    <t>Discussion</t>
  </si>
  <si>
    <t xml:space="preserve">Cooling: </t>
  </si>
  <si>
    <t xml:space="preserve">In New England HVAC space cooling requires about 1/10th the energy used for space heating.  In addition most of the cooling load occurs when the building is occupied, so night setback has little impact.  </t>
  </si>
  <si>
    <t xml:space="preserve">Heating: </t>
  </si>
  <si>
    <t>Yes*</t>
  </si>
  <si>
    <t xml:space="preserve">Savings come from two components: envelope losses and ventilation losses.  The savings only occur during unoccupied periods. </t>
  </si>
  <si>
    <r>
      <t>Envelope losses are calculated as UA</t>
    </r>
    <r>
      <rPr>
        <sz val="11"/>
        <color theme="1"/>
        <rFont val="Calibri"/>
        <family val="2"/>
      </rPr>
      <t xml:space="preserve">∆T, we are not changing the insulation properties of the envelope so U is constant.  We </t>
    </r>
    <r>
      <rPr>
        <sz val="11"/>
        <color theme="1"/>
        <rFont val="Calibri"/>
        <family val="2"/>
        <scheme val="minor"/>
      </rPr>
      <t xml:space="preserve">are not changing the Area so A is constant.  We are changing the ∆T from 70°F to some setback value, assumed 64° F.  The heat load during unoccuiped hours comes from HVAC and plug loads since people are gone, lightings are off, and the sun has set.  </t>
    </r>
  </si>
  <si>
    <t>Ventilation should halt when the building is in Unocc mode.  Its possible the legacy system doesn't recognize Unocc mode so ventilation occurs 24/7.  In theory ventilation should always be a constant value to account for people and off gasing.  For a VAV system if the design OA is 15% of supply, it will be 30% of supply in heat mode if supply CFM declines 50%, a common design.  i.e., the office AHUs supply 50,000 CFM of which 7,500 CFM is OA.  If it’s a VAV system the supply airflow will decrease to roughly 25,000 CFM when the heating season kicks in.  The ventilation should remain at 7,500 CFM so the ventilation when cooling is 15% but is 30% when the HVAC system is heating.  Therefore the ventilation CFM will be the same, regardless if the system is VAVor CV.</t>
  </si>
  <si>
    <t>Pumps/Fans:</t>
  </si>
  <si>
    <t xml:space="preserve">Scheduling can reduce fan run hours significantly.  </t>
  </si>
  <si>
    <t xml:space="preserve">The tool was reviewed by Cadeo in 2022 as part of an evaluation review of the TRM.  Cadeo recommended using a static pressure of 2": We recommend using a lower static pressure or consider changing the calculator to adjust static pressure based on a split between buildings three stories or fewer and more than three stories.
Based on our experience, 3.5” water column (WC) and 5.5” WC static pressure is very high, potentially representing a high-pressure cutout value rather than a standard operating value. We would expect the value to be closer to 2” WC. The Regional Technical Forum (RTF) assumes 1.5” WC.  Two- and three-story buildings typically have low-pressure systems at less than 3” WC, while medium pressure systems, more typical for buildings taller than three stories, are more aligned with the static pressure currently cited in the tool. (Continuing Education &amp; Development, HVAC – How to Size and Design Ducts, by A. Bhatia, Course No. M0032, accessed July 27, 2022, https://www.cedengineering.com/userfiles/HVAC%20-%20How%20to%20Size%20and%20Design%20Ducts%20R1.pdf.) </t>
  </si>
  <si>
    <t>Formulas</t>
  </si>
  <si>
    <t>CV Circ Savings</t>
  </si>
  <si>
    <t>=</t>
  </si>
  <si>
    <t>CV BHp * 0.746 / Motor Eff * (Base hours - Proposed hours)</t>
  </si>
  <si>
    <t>VAV Circ Savings</t>
  </si>
  <si>
    <t>VAV BHp * 0.746 / (0.9 * 0.95) * (Base hours - Proposed hours)</t>
  </si>
  <si>
    <t>Envelope losses therms/ft2</t>
  </si>
  <si>
    <t>(Baseline envelope losses - Proposed envelope losses)</t>
  </si>
  <si>
    <t>Ventilation losses therms/fts</t>
  </si>
  <si>
    <t xml:space="preserve">Baseline Unoccupied ventilation energy </t>
  </si>
  <si>
    <t>Total Heating therms/fts2</t>
  </si>
  <si>
    <t>Envelope savings + Ventilation savings</t>
  </si>
  <si>
    <t>Where</t>
  </si>
  <si>
    <t>On Assumptions tab</t>
  </si>
  <si>
    <t>Circulation System Savings</t>
  </si>
  <si>
    <t>Term</t>
  </si>
  <si>
    <t>Note</t>
  </si>
  <si>
    <t>Conversion HP to kW</t>
  </si>
  <si>
    <t>kW/HP</t>
  </si>
  <si>
    <t>Motor Eff</t>
  </si>
  <si>
    <t>Proposed case fan hours</t>
  </si>
  <si>
    <t>See TMY3 data table - occupied + unoccuied fan hours</t>
  </si>
  <si>
    <t>CV - Design Flow</t>
  </si>
  <si>
    <t>CFM/ft2</t>
  </si>
  <si>
    <t>CV BPp</t>
  </si>
  <si>
    <t>VAV - Design flow</t>
  </si>
  <si>
    <t>VAV BHp</t>
  </si>
  <si>
    <t>Motor Eff @ avg turndown</t>
  </si>
  <si>
    <t>Drive Eff @ avg turndown</t>
  </si>
  <si>
    <t xml:space="preserve">Heating Savings </t>
  </si>
  <si>
    <t>Constant</t>
  </si>
  <si>
    <t>Mbtu to Btu</t>
  </si>
  <si>
    <t>Btu/Mbtu</t>
  </si>
  <si>
    <t xml:space="preserve">RAT </t>
  </si>
  <si>
    <t>% OA heating mode - CV</t>
  </si>
  <si>
    <t>% OA heating mode - VAV</t>
  </si>
  <si>
    <t xml:space="preserve">Base case </t>
  </si>
  <si>
    <t>Heating EUI - poorly building</t>
  </si>
  <si>
    <t>Mbtu/ft2</t>
  </si>
  <si>
    <t>Occupied set point - heating</t>
  </si>
  <si>
    <t xml:space="preserve">Unoccupied set point - heating </t>
  </si>
  <si>
    <t>CV Occupied balance point</t>
  </si>
  <si>
    <t>CV Unoccupied balance point</t>
  </si>
  <si>
    <t>VAV Occupied Balance Point</t>
  </si>
  <si>
    <t>VAV Unoccupied balance point</t>
  </si>
  <si>
    <t>Proposed</t>
  </si>
  <si>
    <t>Unoccupied setpoint</t>
  </si>
  <si>
    <t>Unoccupied balance point</t>
  </si>
  <si>
    <t>Annual Savings</t>
  </si>
  <si>
    <t>CV Fan Savings</t>
  </si>
  <si>
    <t>kWh/ft2</t>
  </si>
  <si>
    <t>VAV Fan Savings</t>
  </si>
  <si>
    <t>Envelope loss savings</t>
  </si>
  <si>
    <t>kBtu/ft2</t>
  </si>
  <si>
    <t>ventilation savings</t>
  </si>
  <si>
    <t>Heating kbtu/ft2</t>
  </si>
  <si>
    <t>% envelope savings from total heating</t>
  </si>
  <si>
    <t>TMY 3 data Worcester</t>
  </si>
  <si>
    <t>Occupied</t>
  </si>
  <si>
    <t>Base Case - Unoccupied</t>
  </si>
  <si>
    <t>Proposed - Unoccupied</t>
  </si>
  <si>
    <t>Mode</t>
  </si>
  <si>
    <t>Bin</t>
  </si>
  <si>
    <t>average temp</t>
  </si>
  <si>
    <t>hrs/yr</t>
  </si>
  <si>
    <t>Occupied Hours 
(M-F 6AM to 6PM hrs/yr)</t>
  </si>
  <si>
    <t xml:space="preserve">Unocc hrs </t>
  </si>
  <si>
    <t>Unocc fan run hrs</t>
  </si>
  <si>
    <t>% time fans run during unocc</t>
  </si>
  <si>
    <t>Occupied 
(∆T * Occ hours)</t>
  </si>
  <si>
    <t>CV - Occupied Mixed Chamber Air Temp</t>
  </si>
  <si>
    <t>CV - Occupied Ventilation MBTUs</t>
  </si>
  <si>
    <t>VAV - Occupied Mixed Chamber Air Temp</t>
  </si>
  <si>
    <t>VAV - Occupied Ventilation MBTUs</t>
  </si>
  <si>
    <t>Unoccupied 
(∆T * Unocc hours)</t>
  </si>
  <si>
    <t>Total 
(∆T * Unocc hours)</t>
  </si>
  <si>
    <t>CV - Unoccupied Ventilation MBTUs</t>
  </si>
  <si>
    <t>VAV - Unoccupied Ventilation MBTUs</t>
  </si>
  <si>
    <t>95 to 99</t>
  </si>
  <si>
    <t>97</t>
  </si>
  <si>
    <t xml:space="preserve">90 to 94 </t>
  </si>
  <si>
    <t>92</t>
  </si>
  <si>
    <t>85 to 89</t>
  </si>
  <si>
    <t>87</t>
  </si>
  <si>
    <t>80 to 84</t>
  </si>
  <si>
    <t>82</t>
  </si>
  <si>
    <t>75 to 79</t>
  </si>
  <si>
    <t>77</t>
  </si>
  <si>
    <t>70 to 74</t>
  </si>
  <si>
    <t>72</t>
  </si>
  <si>
    <t>65 to 69</t>
  </si>
  <si>
    <t>67</t>
  </si>
  <si>
    <t>60 to 64</t>
  </si>
  <si>
    <t>62</t>
  </si>
  <si>
    <t>55 to 59</t>
  </si>
  <si>
    <t>57</t>
  </si>
  <si>
    <t>50 to 54</t>
  </si>
  <si>
    <t>52</t>
  </si>
  <si>
    <t>45 to 49</t>
  </si>
  <si>
    <t>47</t>
  </si>
  <si>
    <t>40 to 44</t>
  </si>
  <si>
    <t>42</t>
  </si>
  <si>
    <t>35 to 39</t>
  </si>
  <si>
    <t>37</t>
  </si>
  <si>
    <t>30 to 34</t>
  </si>
  <si>
    <t>32</t>
  </si>
  <si>
    <t>25 to 29</t>
  </si>
  <si>
    <t>27</t>
  </si>
  <si>
    <t>20 to 24</t>
  </si>
  <si>
    <t>22</t>
  </si>
  <si>
    <t>15 to 19</t>
  </si>
  <si>
    <t>17</t>
  </si>
  <si>
    <t>10 to 14</t>
  </si>
  <si>
    <t>12</t>
  </si>
  <si>
    <t>5 to 9</t>
  </si>
  <si>
    <t>7</t>
  </si>
  <si>
    <t>0 to 4</t>
  </si>
  <si>
    <t>2</t>
  </si>
  <si>
    <t>-1 to -5</t>
  </si>
  <si>
    <t>-3</t>
  </si>
  <si>
    <t>-6 to -10</t>
  </si>
  <si>
    <t>-8</t>
  </si>
  <si>
    <t>-11 to -15</t>
  </si>
  <si>
    <t>-13</t>
  </si>
  <si>
    <t xml:space="preserve">totals </t>
  </si>
  <si>
    <t>Reduction in envelope losses</t>
  </si>
  <si>
    <t xml:space="preserve">Occ - energy loss for ventilation </t>
  </si>
  <si>
    <t>Unocc - energy loss for ventilation</t>
  </si>
  <si>
    <t>Total ventilation losses</t>
  </si>
  <si>
    <t>Base case - envelope losses</t>
  </si>
  <si>
    <t>Proposed case - envelope losses</t>
  </si>
  <si>
    <t xml:space="preserve">The analysis here is taken from the ESPO Low Cost Tuning Measure Custom Express Tool for the same measure.  This strategy is only applicable to water-cooled chillers. The condenser water setpoint or the temperature of the water leaving the cooling tower can be controlled based on building loads, outdoor air wet-bulb temperature, or another appropriate control variable.
Assumes 10F range (temp drop from condenser water entering and leaving the cooling tower)
Assumes cooling tower fan energy penalty is included in energy savings factor
Chiller plant does not run during winter peak period </t>
  </si>
  <si>
    <t>Formula</t>
  </si>
  <si>
    <t>Cooling Savings</t>
  </si>
  <si>
    <t>Chiller kWh Saved at above design conditions/450 sq ft</t>
  </si>
  <si>
    <t>Chiller Capacity,  in tons used in savings calculation below</t>
  </si>
  <si>
    <t>Chiller Plant Design OA Temp, degree F</t>
  </si>
  <si>
    <t>Chiller IPLV (kW/ton) - approximately code-efficient unit</t>
  </si>
  <si>
    <t>Chiller energy saved per degree F of CWT reset (assume equal to chiller energy assumption per TRACE 700)</t>
  </si>
  <si>
    <t>Outdoor wetbulb temp reset upper limit, F (at this temp, reset is permitted)</t>
  </si>
  <si>
    <t>Outdoor wetbulb temp reset lower limit, F  (at this temp, water reset has reached minimum temperature)</t>
  </si>
  <si>
    <t xml:space="preserve">Condenser water temperature reset lower limit, degree F </t>
  </si>
  <si>
    <t>(minimum condenser water temperature allowed by chiller manufacturer)</t>
  </si>
  <si>
    <t>Chiller lockout outdoor air temperature</t>
  </si>
  <si>
    <t xml:space="preserve"> (below this temperature, the chiller does not run), degree F</t>
  </si>
  <si>
    <t xml:space="preserve"> assumes (Design WBT + 7F)</t>
  </si>
  <si>
    <t>TMY3 Station ID to Use</t>
  </si>
  <si>
    <t>TYM3 Station Name</t>
  </si>
  <si>
    <t>Worcester Regional Arpt</t>
  </si>
  <si>
    <t>Condenser Water Reset Strategy</t>
  </si>
  <si>
    <t>OAT-DB Bin (°F)</t>
  </si>
  <si>
    <t>Avg WBT</t>
  </si>
  <si>
    <t>Annual Bin Hours</t>
  </si>
  <si>
    <t>On-Peak Bin Hours</t>
  </si>
  <si>
    <t>Winter Peak Hours</t>
  </si>
  <si>
    <t>Summer Peak Hours</t>
  </si>
  <si>
    <t>Chiller load %</t>
  </si>
  <si>
    <t>Cooling FLH</t>
  </si>
  <si>
    <t>On-Peak Cooling FLH</t>
  </si>
  <si>
    <t>Chiller Tons</t>
  </si>
  <si>
    <t>Eff CW temp % of reset</t>
  </si>
  <si>
    <t>Base CW leaving temp</t>
  </si>
  <si>
    <t>Eff CW temp</t>
  </si>
  <si>
    <t>% Improvement in chiller efficiency</t>
  </si>
  <si>
    <t>Base Chiller kW</t>
  </si>
  <si>
    <t>Eff Chiller kW</t>
  </si>
  <si>
    <t>Chiller kW saved</t>
  </si>
  <si>
    <t>Chiller kWh saved</t>
  </si>
  <si>
    <t>On-Peak kWh saved</t>
  </si>
  <si>
    <t>The analysis here is taken from the ESPO Low Cost Tuning Measure Custom Express Tool for the same measure.  Resets are a trade off between fan energy change vs thermal energy change. 
Assumes Chiller plant does not run during winter peak period (no winter kW claimed)
Assumes distribution fan energy penalty is included in the energy savings factors</t>
  </si>
  <si>
    <t>Boiler MBH/sqft</t>
  </si>
  <si>
    <t xml:space="preserve">50Btuh/sqft / 1,000 Btuh/MBH  </t>
  </si>
  <si>
    <t>Heating MMBtu Savings at above design conditions * 1,000 MBtu /1 MMBtu</t>
  </si>
  <si>
    <t>Chiller Plant Design OA Temperature, degree F</t>
  </si>
  <si>
    <t>kW/Ton</t>
  </si>
  <si>
    <t>on assumptions tab</t>
  </si>
  <si>
    <t>Non-condensing Boiler Efficiency</t>
  </si>
  <si>
    <t>BTUh = 1MBH</t>
  </si>
  <si>
    <t>Heating - Non-Cond</t>
  </si>
  <si>
    <t>Heating - Cond</t>
  </si>
  <si>
    <t xml:space="preserve">Note - theoretical savings were developed for Condensing Boilers, but ultimately is not used directly in the Savings Factors tables. </t>
  </si>
  <si>
    <t>*Uses LCTM calcuator for DAT reset with above assumptions</t>
  </si>
  <si>
    <t>Discharge Air Temp Reset Strategy - Cooling Mode</t>
  </si>
  <si>
    <t>Discharge Air Temp Reset Strategy - Heating Mode</t>
  </si>
  <si>
    <t>HVAC Mode</t>
  </si>
  <si>
    <t>Cooling Mode DAT Reset</t>
  </si>
  <si>
    <t>Cooling Mode Base DAT</t>
  </si>
  <si>
    <t>Cooling Mode Eff DAT</t>
  </si>
  <si>
    <t>% increase in chiller efficiency</t>
  </si>
  <si>
    <t>On-Peak chiller kWh saved</t>
  </si>
  <si>
    <t>Heating Load, %</t>
  </si>
  <si>
    <t>Heating FLH</t>
  </si>
  <si>
    <t>Heating MBH</t>
  </si>
  <si>
    <t>Heating Mode DAT Reset</t>
  </si>
  <si>
    <t>Heating Mode Base DAT</t>
  </si>
  <si>
    <t>Heating Mode Eff DAT</t>
  </si>
  <si>
    <t>% Increase in Boiler efficiency</t>
  </si>
  <si>
    <t>Base Heater kbtu/h fuel</t>
  </si>
  <si>
    <t>Eff Heater kbtu/h fuel</t>
  </si>
  <si>
    <t>Non- condensing MMBtu Fuel Saved</t>
  </si>
  <si>
    <t>Condensing MMBtu Fuel Saved</t>
  </si>
  <si>
    <t>cooling mode</t>
  </si>
  <si>
    <t>heating mode</t>
  </si>
  <si>
    <t xml:space="preserve">Static Pressure Reset  (SPR) calculations are based on the assumption that 7 Day Sch / Unocc Setback has been implemented. Static Pressure Reset will ONLY work on VAV systems.  It is not universally applicable, if some spaces in the building have consistent high loads the dampers will not be allowed to close enough for Static Pressure Reset to work.  
Another way to consider the savings is CFM X ∆P /(6356 X fan eff).  Static pressure upstream of the VAV box tends to be about 1.75 " to 2.5" w.c. which is fine at design flow conditions.  But for most of the year supply airflow is less than design, reaching a low of  50% during the heating season. The necessary pressure upstream of the terminal box will decline by (∆ flow %)^2 .  The 50% reduction in airflow results in pressure of 0.44 " w.c. (1.75" X 50%^2 = 0.44 ").   The pressure can not decline too far, otherwise it will impair the ability to "throw" the conditioned air at the diffuser. Key point is the 25% reduction in fan energy from SPR seen from the DOD study seems plausible.  </t>
  </si>
  <si>
    <t>Static Pressure Savings</t>
  </si>
  <si>
    <t>Annual Fan Energy Use * % Savings * Adjustment</t>
  </si>
  <si>
    <t>Annual Fan Energy Use</t>
  </si>
  <si>
    <t>VAV BHp *0.746 / (motor eff @ avg turndown * drive eff @ avg turndown) * proposed run hours</t>
  </si>
  <si>
    <t>Fan Savings</t>
  </si>
  <si>
    <t>Fan Eff</t>
  </si>
  <si>
    <t>Proposed Fan Run Hours</t>
  </si>
  <si>
    <t xml:space="preserve">Optimal Start/Stop is a programming strategy to minimize morning warmup, in essence it expands the unoccupied period by about 2% .  When in morning warmup the heating system is in full fire mode to bring the building mass back to occupied temperatures.  Most of the unoccupied period the heating system is in low to mid fire, a reduction in morning warmup is therefore magnified compared to typical unoccupied heating.  </t>
  </si>
  <si>
    <t xml:space="preserve">In heat mode a VAV system may have supply airflow roughly 50% of design, while a constant volume system remains at design airflow.  However for morning warmup the OA dampers should close, and the fan will run at design CFM to recover the building mass back to occupied setpoint temps.  Consequently both CV and VAV will run at the same CFM.  VAV systems will have longer duct runs and terminal boxes to reach the final heat emitters, the pressure drop will be greater so the VAV power should be greater than for CV.  </t>
  </si>
  <si>
    <t>Formulas:</t>
  </si>
  <si>
    <t>Heating savings</t>
  </si>
  <si>
    <t>CV Design Flow * 1.08 * (Discharge Temp - RA Temp) * (Reduction in Run Time) /(1000 * Boiler Eff)</t>
  </si>
  <si>
    <t xml:space="preserve">CV Circulation savings </t>
  </si>
  <si>
    <t>CV BHp * 0.747 / (Motor Eff*Drive Eff) * Reduction in Run Time</t>
  </si>
  <si>
    <t>VAV Circulation savings</t>
  </si>
  <si>
    <t>VAV BHp * 0.747 / (Motor Eff*Drive Eff) * Reduction in Run Time</t>
  </si>
  <si>
    <t>Where:</t>
  </si>
  <si>
    <t>CV Design Flow</t>
  </si>
  <si>
    <t>Discharge Temp</t>
  </si>
  <si>
    <t>Return Air Temp - building warm up</t>
  </si>
  <si>
    <t># hour reduction per day</t>
  </si>
  <si>
    <t>Reduction in Run Time</t>
  </si>
  <si>
    <t>Assumes 0.7 hr reduction per day, 5 days/week, 30 heating weeks/year</t>
  </si>
  <si>
    <t>Btu to kbtu conversion</t>
  </si>
  <si>
    <t>Non-condensing Boiler eff</t>
  </si>
  <si>
    <t>Condensing Boiler Eff</t>
  </si>
  <si>
    <t>Circulation</t>
  </si>
  <si>
    <t>Drive Eff</t>
  </si>
  <si>
    <t>CV BHp</t>
  </si>
  <si>
    <t>VAV BHp for building warm up</t>
  </si>
  <si>
    <t xml:space="preserve">Use CV Design flow since dampers are closed and run at full design CFM to bring building to temp. </t>
  </si>
  <si>
    <t>Heating - Non-Condensing</t>
  </si>
  <si>
    <t xml:space="preserve">kbtu/ft2 </t>
  </si>
  <si>
    <t>Heating - Condensing</t>
  </si>
  <si>
    <t>kWh/ft3</t>
  </si>
  <si>
    <t xml:space="preserve">Chilled Water Reset has some savings potential if the internal loads do not dominate the need for cooling.  Although BMS cooling strategies are perfectly legitimate recommendations for many applications, in New England it is a minor contributor.  This value is probably high.  A significant heat source is from plug load, lighting, people and solar gain.  To say the cooling load is reduced just on OAT ignores the impact from internal heat sources.  Secondly the ability to reset the CH temp will range from highly probable, during moderately load, to unlikely when cooling is at a high load.  To assume its enabled at 5 F for roughly 40% of the cooling season is too simplistic and overstates the savings. </t>
  </si>
  <si>
    <t>Cooling EUI * (Avg Temp Increase * Reduced Compressor Power/deg) * %Cooling energy for compressor *hours CHW reset / Total cooling hours</t>
  </si>
  <si>
    <t>Cooling EUI</t>
  </si>
  <si>
    <t xml:space="preserve">This strategy reduces the temperature of the distrubution hydronic heating lines.  The basecase assumption is that the distribution piping is insulated.  Savings are reduced losses from the insulation due to the lower temperature. 
Insulated pipe still loses energy although at a reduced rate.  The lower the solution's (water in this case) temperature the less heat lost from the insulation.  Insulation loss is easily determined from energy calculators such as the National Mechanical Insulation Committee's calculator for horizontal piping.  The base case distribution loss is estimated to be 8%.   This suggests the energy delivered to the heat emitters (coils at RTUs, FCUs, terminal boxes, radiators etc.) is about 72% of the HHV.   If the boiler's combustion and radiant loss is 20%, destribution piping loss is 8% then 72 % is delivered to heat emitters. </t>
  </si>
  <si>
    <t>Non-Condensing Boiler Savings</t>
  </si>
  <si>
    <t>Condensing Boiler Heating EUI * (%reduction losses per linear foot) * distribution losses</t>
  </si>
  <si>
    <t>Condensing Boiler Savings</t>
  </si>
  <si>
    <t>Non-Condensing EUI * (%reduction losses per linear foot) * distribution losses</t>
  </si>
  <si>
    <t>Heating System Distribution Loss %</t>
  </si>
  <si>
    <t>Engineering Estimate</t>
  </si>
  <si>
    <t>Heating EUI</t>
  </si>
  <si>
    <t>Baseline - Loss per linear foot - 4" pipe</t>
  </si>
  <si>
    <t>Btu/hr/ft</t>
  </si>
  <si>
    <t>National Mechanical Insulation Committee's Energy Calculator for Horizontal Piping (180 deg F average hydronic line temp)</t>
  </si>
  <si>
    <t>Proposed - Loss per linear foot - 4" pipe</t>
  </si>
  <si>
    <t>National Mechanical Insulation Committee's Energy Calculator for Horizontal Piping (160 deg F average hydronic line temp with OA reset)</t>
  </si>
  <si>
    <t>Non-Condensing Boiler Eff</t>
  </si>
  <si>
    <t>National Mechanical Insulation Committee's Energy Calculator for Horizontal Piping (160 deg F average hydronic line temp)</t>
  </si>
  <si>
    <t>National Mechanical Insulation Committee's Energy Calculator for Horizontal Piping (145 deg F average hydronic line temp with OA reset)</t>
  </si>
  <si>
    <t>Non-Condensing % Reduction in losses</t>
  </si>
  <si>
    <t>Condensing % Reduction in losses</t>
  </si>
  <si>
    <t xml:space="preserve">DCV can generate cooling savings.  The problem is cooling is about 1 kWh/ft2 (2012 CBECs data, modified to account for less heat load from lighting, drives on pumps and fans).  If the OAT is 72 or less the Economizer will prevail over DCV, reducing the amount of cooling season eligible.  </t>
  </si>
  <si>
    <t>DCV is often oversold and frequently disconnected by facilities.  For the right application it can be a solid measure such as for an auditorium.  DCV can compete with economizing if not implemented appropriately. When the air conditioning savings from the economizer surpass the potential savings from reduced airflow, the economizer should override the DCV system.</t>
  </si>
  <si>
    <t xml:space="preserve">Assumption 1 - Assumes that of the occupied time period, 20% will be low occupancy- the CO2 levels will be below the ppm thresholds and keep the OA damper at minimum. </t>
  </si>
  <si>
    <t>Assumption 2 -This worksheet assumed DCV would be overridden by economizer 40% of the time. In other words, the OA damper would remain closed 60% of the time in cooling during occupied when the Demand Control conditions are appropriate, thereby reducing DCV specific savings from 100% to 60%.</t>
  </si>
  <si>
    <t xml:space="preserve">Assumption 3 - The estimated reduction of  mechanical cooling for times when DCV occurs preventing greater flow of air for cooling through the system </t>
  </si>
  <si>
    <t xml:space="preserve">Assumption 4 -This worksheet assumed DCV could be implemented 20% of the occupied time.  This 20% is representative of times when DCV can maintain the minimum outside air because the temperature or enthalpy conditions are not eligible to open the OA damper for economizing, but the OA damper would open because the concentration of CO2 is in the space is high enough to open the outside air damper. </t>
  </si>
  <si>
    <t xml:space="preserve">Most DCV sequence of operation do not change the supply CFM, only vary the amount of OA and RA.  Even in cases where tehre are fan savings, they are not significant compared to cooling and heating savings.  </t>
  </si>
  <si>
    <t>Cooling EUI * % Time in low Occ * % Eligible * % Reduction in Cooling</t>
  </si>
  <si>
    <t>Heating Savings</t>
  </si>
  <si>
    <t>Potential DCV Savings * % Qualifies for DCV</t>
  </si>
  <si>
    <t>Potential DCV Savings</t>
  </si>
  <si>
    <t>Design Flow * 1.08 * (Balance Point - Mixed Air Temp) * Occupied Hours / (1000 * Boiler Eff)</t>
  </si>
  <si>
    <t>Assumption 1</t>
  </si>
  <si>
    <t>% Time Low Occupancy</t>
  </si>
  <si>
    <t>Assumption 2</t>
  </si>
  <si>
    <t>Assumption 3</t>
  </si>
  <si>
    <t>constant</t>
  </si>
  <si>
    <t>conversion</t>
  </si>
  <si>
    <t>% OA - CV</t>
  </si>
  <si>
    <t>% OA in heating mode- VAV</t>
  </si>
  <si>
    <t>Assumption 4</t>
  </si>
  <si>
    <t>% occupied time site qualifies for DCV</t>
  </si>
  <si>
    <t xml:space="preserve">** Savings is based on a lesser overall ventilation rate in occ and unocc. </t>
  </si>
  <si>
    <t xml:space="preserve">using modulating OA damper and CO2 sensor. Usually requires a TAB contractor </t>
  </si>
  <si>
    <t>kbtu/ft2</t>
  </si>
  <si>
    <t>Mixed Air Temp</t>
  </si>
  <si>
    <t>CV - Non-cond Boiler</t>
  </si>
  <si>
    <t>VAV - Non-cond Boiler</t>
  </si>
  <si>
    <t xml:space="preserve">Economizing can generate cooling savings.  The problem is cooling is about 1 kWh/ft2 (2012 CBECs data, modified to account for less heat load from lighting, drives on pumps and fans).  Economizer will prevail over DCV, increasing the amount of cooling season eligible.  </t>
  </si>
  <si>
    <t xml:space="preserve">Economizing is often overridden or overcomplicated in facilities if the comparison of return or OA temps or enthalpy readings are inaccurate or programmed incorrectly. </t>
  </si>
  <si>
    <t xml:space="preserve">Assumption 1 - The amount of time comparison between OAT and RAT dry bulb temps or enthalpy allow for Economizing to occur. Based on the psychometric chart covered by IECC Region 5A in https://www.researchgate.net/figure/Psychrometric-chart-regions-based-on-the-recommended-envelope-11_fig6_313626195 </t>
  </si>
  <si>
    <t xml:space="preserve">Assumption 2 -Economizing is only likely to occur when the outside air temperature is greater than freezing and less than 72 degF. For cooling temps, this is limited to 2,984 hrs of the TMY3 data, which is 86% of the year. </t>
  </si>
  <si>
    <t xml:space="preserve">Assumption 3 - Percentage of mechanical cooling reduced when outdoor air is used for free cooling.  Same assumption used in DCV. </t>
  </si>
  <si>
    <t xml:space="preserve">Most Econ sequences of operation do not change the supply CFM, only vary the amount of OA and RA.  </t>
  </si>
  <si>
    <t xml:space="preserve">Cooling EUI * % Time Econ Conditions Optimal * % Eligible * % Mechancial Cooling Reduction </t>
  </si>
  <si>
    <t>% of time economizing conditions optimal</t>
  </si>
  <si>
    <t>% of eligible TMY3 cooling band by economizer</t>
  </si>
  <si>
    <t>% Reduction in Mechanical Cooling</t>
  </si>
  <si>
    <t>Estimated Design Conditions</t>
  </si>
  <si>
    <t>degF</t>
  </si>
  <si>
    <t xml:space="preserve">DAT_SP </t>
  </si>
  <si>
    <t>Supply 55degF by blending Supply air with Return air</t>
  </si>
  <si>
    <t xml:space="preserve">At higher OAT, may have a penalty bc some humidity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</si>
</sst>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_(* #,##0.000_);_(* \(#,##0.000\);_(* &quot;-&quot;??_);_(@_)"/>
    <numFmt numFmtId="165" formatCode="_(* #,##0.00000_);_(* \(#,##0.00000\);_(* &quot;-&quot;??_);_(@_)"/>
    <numFmt numFmtId="166" formatCode="_(* #,##0_);_(* \(#,##0\);_(* &quot;-&quot;??_);_(@_)"/>
    <numFmt numFmtId="167" formatCode="_(* #,##0.000000_);_(* \(#,##0.000000\);_(* &quot;-&quot;??_);_(@_)"/>
    <numFmt numFmtId="168" formatCode="_(* #,##0.0_);_(* \(#,##0.0\);_(* &quot;-&quot;??_);_(@_)"/>
    <numFmt numFmtId="169" formatCode="0.0%"/>
    <numFmt numFmtId="170" formatCode="0.000"/>
    <numFmt numFmtId="171" formatCode="0.0000"/>
    <numFmt numFmtId="172" formatCode="_(* #,##0.0000_);_(* \(#,##0.0000\);_(* &quot;-&quot;??_);_(@_)"/>
    <numFmt numFmtId="173" formatCode="_(&quot;$&quot;* #,##0_);_(&quot;$&quot;* \(#,##0\);_(&quot;$&quot;* &quot;-&quot;??_);_(@_)"/>
    <numFmt numFmtId="174" formatCode="_(* #,##0.0000000_);_(* \(#,##0.0000000\);_(* &quot;-&quot;??_);_(@_)"/>
    <numFmt numFmtId="175" formatCode="0.0"/>
    <numFmt numFmtId="176" formatCode="&quot;$&quot;#,##0.00"/>
    <numFmt numFmtId="177" formatCode="&quot;$&quot;#,##0"/>
    <numFmt numFmtId="178" formatCode="0.0000000000000000%"/>
    <numFmt numFmtId="179" formatCode="0.000%"/>
  </numFmts>
  <fonts count="84">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sz val="11"/>
      <color theme="1"/>
      <name val="Calibri"/>
      <family val="2"/>
    </font>
    <font>
      <b/>
      <sz val="9"/>
      <color theme="1"/>
      <name val="Calibri"/>
      <family val="2"/>
      <scheme val="minor"/>
    </font>
    <font>
      <b/>
      <sz val="9"/>
      <color indexed="81"/>
      <name val="Tahoma"/>
      <family val="2"/>
    </font>
    <font>
      <sz val="8"/>
      <name val="Calibri"/>
      <family val="2"/>
      <scheme val="minor"/>
    </font>
    <font>
      <sz val="11"/>
      <name val="Calibri"/>
      <family val="2"/>
      <scheme val="minor"/>
    </font>
    <font>
      <b/>
      <sz val="12"/>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2"/>
      <color rgb="FFFF0000"/>
      <name val="Calibri"/>
      <family val="2"/>
      <scheme val="minor"/>
    </font>
    <font>
      <b/>
      <sz val="12"/>
      <color theme="0"/>
      <name val="Calibri"/>
      <family val="2"/>
      <scheme val="minor"/>
    </font>
    <font>
      <b/>
      <sz val="26"/>
      <color theme="0"/>
      <name val="Cambria"/>
      <family val="1"/>
    </font>
    <font>
      <b/>
      <sz val="20"/>
      <color theme="1"/>
      <name val="Cambria"/>
      <family val="1"/>
    </font>
    <font>
      <sz val="12"/>
      <color theme="1"/>
      <name val="Cambria"/>
      <family val="1"/>
    </font>
    <font>
      <sz val="11"/>
      <color theme="1"/>
      <name val="Cambria"/>
      <family val="1"/>
    </font>
    <font>
      <sz val="12"/>
      <name val="Cambria"/>
      <family val="1"/>
    </font>
    <font>
      <sz val="12"/>
      <name val="Calibri"/>
      <family val="2"/>
    </font>
    <font>
      <sz val="20"/>
      <color theme="1"/>
      <name val="Calibri"/>
      <family val="2"/>
      <scheme val="minor"/>
    </font>
    <font>
      <sz val="11"/>
      <name val="Calibri"/>
      <family val="2"/>
    </font>
    <font>
      <b/>
      <sz val="20"/>
      <name val="Calibri"/>
      <family val="2"/>
      <scheme val="minor"/>
    </font>
    <font>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font>
    <font>
      <sz val="11"/>
      <color rgb="FF000000"/>
      <name val="Cambria"/>
      <family val="1"/>
    </font>
    <font>
      <b/>
      <sz val="11"/>
      <color rgb="FFFFFFFF"/>
      <name val="Calibri"/>
      <family val="2"/>
    </font>
    <font>
      <sz val="11"/>
      <color rgb="FF202124"/>
      <name val="Cambria"/>
      <family val="1"/>
    </font>
    <font>
      <b/>
      <sz val="11"/>
      <color rgb="FF202124"/>
      <name val="Cambria"/>
      <family val="1"/>
    </font>
    <font>
      <b/>
      <sz val="11"/>
      <color theme="1"/>
      <name val="Cambria"/>
      <family val="1"/>
    </font>
    <font>
      <sz val="11"/>
      <name val="Cambria"/>
      <family val="1"/>
    </font>
    <font>
      <sz val="11"/>
      <name val="Calibri"/>
      <family val="2"/>
      <charset val="1"/>
    </font>
    <font>
      <sz val="9"/>
      <color rgb="FF000000"/>
      <name val="Calibri"/>
      <family val="2"/>
      <scheme val="minor"/>
    </font>
    <font>
      <b/>
      <sz val="11"/>
      <color rgb="FF000000"/>
      <name val="Calibri"/>
      <family val="2"/>
      <scheme val="minor"/>
    </font>
    <font>
      <sz val="9"/>
      <color theme="1"/>
      <name val="Calibri"/>
      <family val="2"/>
      <scheme val="minor"/>
    </font>
    <font>
      <sz val="9"/>
      <color rgb="FFFF0000"/>
      <name val="Calibri"/>
      <family val="2"/>
      <scheme val="minor"/>
    </font>
    <font>
      <sz val="11"/>
      <color rgb="FFFFFFFF"/>
      <name val="Calibri"/>
      <family val="2"/>
    </font>
    <font>
      <sz val="12"/>
      <color rgb="FF000000"/>
      <name val="Cambria"/>
      <family val="1"/>
    </font>
    <font>
      <i/>
      <sz val="16"/>
      <color rgb="FF000000"/>
      <name val="Calibri"/>
      <family val="2"/>
    </font>
    <font>
      <i/>
      <sz val="16"/>
      <color rgb="FFFF0000"/>
      <name val="Calibri"/>
      <family val="2"/>
    </font>
    <font>
      <sz val="11"/>
      <color rgb="FFFF0000"/>
      <name val="Calibri"/>
      <family val="2"/>
    </font>
    <font>
      <sz val="11"/>
      <color theme="0"/>
      <name val="Calibri"/>
      <family val="2"/>
    </font>
    <font>
      <b/>
      <sz val="36"/>
      <color rgb="FF000000"/>
      <name val="Calibri"/>
      <family val="2"/>
    </font>
    <font>
      <i/>
      <sz val="16"/>
      <color theme="1"/>
      <name val="Calibri"/>
      <family val="2"/>
    </font>
    <font>
      <sz val="10"/>
      <name val="Arial"/>
      <family val="2"/>
    </font>
    <font>
      <b/>
      <sz val="10"/>
      <name val="Arial"/>
      <family val="2"/>
    </font>
    <font>
      <b/>
      <sz val="9"/>
      <name val="Calibri"/>
      <family val="2"/>
      <scheme val="minor"/>
    </font>
    <font>
      <sz val="11"/>
      <color theme="0" tint="-0.34998626667073579"/>
      <name val="Calibri"/>
      <family val="2"/>
      <scheme val="minor"/>
    </font>
    <font>
      <b/>
      <sz val="14"/>
      <color theme="0"/>
      <name val="Calibri"/>
      <family val="2"/>
      <scheme val="minor"/>
    </font>
    <font>
      <b/>
      <sz val="11"/>
      <name val="Calibri"/>
      <family val="2"/>
      <scheme val="minor"/>
    </font>
    <font>
      <sz val="10"/>
      <color theme="1"/>
      <name val="Calibri"/>
      <family val="2"/>
      <scheme val="minor"/>
    </font>
    <font>
      <b/>
      <sz val="10"/>
      <color theme="1"/>
      <name val="Arial"/>
      <family val="2"/>
    </font>
    <font>
      <sz val="10"/>
      <color theme="1"/>
      <name val="Arial"/>
      <family val="2"/>
    </font>
    <font>
      <sz val="8"/>
      <color theme="1"/>
      <name val="Arial"/>
      <family val="2"/>
    </font>
    <font>
      <i/>
      <sz val="8"/>
      <color theme="1"/>
      <name val="Arial"/>
      <family val="2"/>
    </font>
    <font>
      <u/>
      <sz val="10"/>
      <color theme="1"/>
      <name val="Arial"/>
      <family val="2"/>
    </font>
    <font>
      <sz val="10"/>
      <color theme="1"/>
      <name val="Wingdings"/>
      <charset val="2"/>
    </font>
    <font>
      <sz val="7"/>
      <color theme="1"/>
      <name val="Times New Roman"/>
      <family val="1"/>
    </font>
    <font>
      <sz val="12"/>
      <color theme="1"/>
      <name val="Arial"/>
      <family val="2"/>
    </font>
    <font>
      <sz val="10"/>
      <color rgb="FF000000"/>
      <name val="Arial"/>
      <family val="2"/>
    </font>
    <font>
      <b/>
      <sz val="11"/>
      <color theme="1"/>
      <name val="Arial"/>
      <family val="2"/>
    </font>
    <font>
      <sz val="9"/>
      <color theme="1"/>
      <name val="Arial"/>
      <family val="2"/>
    </font>
    <font>
      <b/>
      <sz val="11"/>
      <name val="Calibri"/>
      <family val="2"/>
    </font>
    <font>
      <b/>
      <sz val="13"/>
      <color theme="0"/>
      <name val="Arial"/>
      <family val="2"/>
    </font>
    <font>
      <b/>
      <sz val="11"/>
      <color rgb="FFFF0000"/>
      <name val="Calibri"/>
      <family val="2"/>
      <scheme val="minor"/>
    </font>
    <font>
      <u/>
      <sz val="11"/>
      <color theme="10"/>
      <name val="Calibri"/>
      <family val="2"/>
      <scheme val="minor"/>
    </font>
    <font>
      <b/>
      <sz val="11"/>
      <color theme="1"/>
      <name val="Calibri"/>
      <family val="2"/>
    </font>
    <font>
      <i/>
      <sz val="11"/>
      <color theme="1"/>
      <name val="Calibri"/>
      <family val="2"/>
      <scheme val="minor"/>
    </font>
    <font>
      <i/>
      <sz val="11"/>
      <name val="Calibri"/>
      <family val="2"/>
    </font>
    <font>
      <b/>
      <sz val="11"/>
      <color theme="0"/>
      <name val="Calibri"/>
      <family val="2"/>
    </font>
    <font>
      <sz val="10"/>
      <color theme="0"/>
      <name val="Calibri"/>
      <family val="2"/>
      <scheme val="minor"/>
    </font>
    <font>
      <i/>
      <sz val="12"/>
      <color rgb="FF4F81BD"/>
      <name val="Cambria"/>
      <family val="1"/>
    </font>
    <font>
      <sz val="15"/>
      <color rgb="FFFF0000"/>
      <name val="Calibri"/>
      <family val="2"/>
      <scheme val="minor"/>
    </font>
    <font>
      <i/>
      <sz val="10"/>
      <name val="Arial"/>
      <family val="2"/>
    </font>
    <font>
      <b/>
      <sz val="30"/>
      <color rgb="FF000000"/>
      <name val="Calibri"/>
      <family val="2"/>
    </font>
    <font>
      <sz val="11"/>
      <color indexed="8"/>
      <name val="Calibri"/>
      <family val="2"/>
    </font>
    <font>
      <i/>
      <sz val="10"/>
      <color theme="0"/>
      <name val="Calibri"/>
      <family val="2"/>
      <scheme val="minor"/>
    </font>
    <font>
      <b/>
      <sz val="11"/>
      <color theme="0" tint="-0.34998626667073579"/>
      <name val="Calibri"/>
      <family val="2"/>
      <scheme val="minor"/>
    </font>
    <font>
      <u/>
      <sz val="11"/>
      <color theme="1"/>
      <name val="Calibri"/>
      <family val="2"/>
      <scheme val="minor"/>
    </font>
    <font>
      <b/>
      <sz val="14"/>
      <name val="Calibri"/>
      <family val="2"/>
      <scheme val="minor"/>
    </font>
    <font>
      <b/>
      <u/>
      <sz val="13"/>
      <color theme="10"/>
      <name val="Calibri"/>
      <family val="2"/>
      <scheme val="minor"/>
    </font>
  </fonts>
  <fills count="48">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00508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rgb="FF5EA4B2"/>
        <bgColor indexed="64"/>
      </patternFill>
    </fill>
    <fill>
      <patternFill patternType="solid">
        <fgColor theme="0" tint="-0.499984740745262"/>
        <bgColor indexed="64"/>
      </patternFill>
    </fill>
    <fill>
      <patternFill patternType="solid">
        <fgColor rgb="FF8EA9DB"/>
        <bgColor indexed="64"/>
      </patternFill>
    </fill>
    <fill>
      <patternFill patternType="solid">
        <fgColor rgb="FF005089"/>
        <bgColor rgb="FF000000"/>
      </patternFill>
    </fill>
    <fill>
      <patternFill patternType="solid">
        <fgColor rgb="FFFFFFFF"/>
        <bgColor rgb="FF000000"/>
      </patternFill>
    </fill>
    <fill>
      <patternFill patternType="solid">
        <fgColor rgb="FFB4C6E7"/>
        <bgColor rgb="FF000000"/>
      </patternFill>
    </fill>
    <fill>
      <patternFill patternType="solid">
        <fgColor rgb="FFD9D9D9"/>
        <bgColor rgb="FF000000"/>
      </patternFill>
    </fill>
    <fill>
      <patternFill patternType="solid">
        <fgColor theme="1" tint="0.34998626667073579"/>
        <bgColor indexed="64"/>
      </patternFill>
    </fill>
    <fill>
      <patternFill patternType="solid">
        <fgColor rgb="FFD9E1F2"/>
        <bgColor indexed="64"/>
      </patternFill>
    </fill>
    <fill>
      <patternFill patternType="solid">
        <fgColor rgb="FFDDEBF7"/>
        <bgColor rgb="FF000000"/>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0"/>
        <bgColor rgb="FF000000"/>
      </patternFill>
    </fill>
    <fill>
      <patternFill patternType="solid">
        <fgColor rgb="FFC6E0B4"/>
        <bgColor rgb="FF000000"/>
      </patternFill>
    </fill>
    <fill>
      <patternFill patternType="solid">
        <fgColor theme="0" tint="-0.14999847407452621"/>
        <bgColor indexed="64"/>
      </patternFill>
    </fill>
    <fill>
      <patternFill patternType="solid">
        <fgColor theme="2" tint="-0.499984740745262"/>
        <bgColor indexed="64"/>
      </patternFill>
    </fill>
    <fill>
      <patternFill patternType="solid">
        <fgColor theme="5" tint="0.59999389629810485"/>
        <bgColor rgb="FF000000"/>
      </patternFill>
    </fill>
    <fill>
      <patternFill patternType="solid">
        <fgColor theme="3" tint="0.39997558519241921"/>
        <bgColor indexed="64"/>
      </patternFill>
    </fill>
    <fill>
      <patternFill patternType="solid">
        <fgColor theme="5" tint="0.39997558519241921"/>
        <bgColor rgb="FF000000"/>
      </patternFill>
    </fill>
    <fill>
      <patternFill patternType="solid">
        <fgColor theme="7" tint="0.59999389629810485"/>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1" tint="0.14999847407452621"/>
        <bgColor indexed="64"/>
      </patternFill>
    </fill>
  </fills>
  <borders count="28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medium">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2" tint="-9.9917600024414813E-2"/>
      </left>
      <right/>
      <top style="thin">
        <color theme="2" tint="-9.9917600024414813E-2"/>
      </top>
      <bottom style="thin">
        <color theme="2" tint="-9.9917600024414813E-2"/>
      </bottom>
      <diagonal/>
    </border>
    <border>
      <left/>
      <right/>
      <top style="thin">
        <color theme="2" tint="-9.9917600024414813E-2"/>
      </top>
      <bottom style="thin">
        <color theme="2" tint="-9.9917600024414813E-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thin">
        <color indexed="64"/>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bottom style="thin">
        <color theme="0" tint="-0.249977111117893"/>
      </bottom>
      <diagonal/>
    </border>
    <border>
      <left/>
      <right/>
      <top/>
      <bottom style="dashed">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top style="thin">
        <color theme="0" tint="-0.24994659260841701"/>
      </top>
      <bottom style="thin">
        <color theme="0"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theme="0" tint="-0.24994659260841701"/>
      </right>
      <top style="thin">
        <color indexed="64"/>
      </top>
      <bottom style="thin">
        <color indexed="64"/>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bottom/>
      <diagonal/>
    </border>
    <border>
      <left style="thin">
        <color indexed="64"/>
      </left>
      <right/>
      <top style="thin">
        <color theme="0" tint="-0.24994659260841701"/>
      </top>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diagonal/>
    </border>
    <border>
      <left/>
      <right style="thin">
        <color theme="0" tint="-0.34998626667073579"/>
      </right>
      <top/>
      <bottom style="thin">
        <color indexed="64"/>
      </bottom>
      <diagonal/>
    </border>
    <border>
      <left/>
      <right style="thin">
        <color theme="0" tint="-0.34998626667073579"/>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right style="thin">
        <color indexed="64"/>
      </right>
      <top style="thin">
        <color theme="0" tint="-0.24994659260841701"/>
      </top>
      <bottom/>
      <diagonal/>
    </border>
    <border>
      <left style="thin">
        <color theme="0" tint="-0.24994659260841701"/>
      </left>
      <right/>
      <top style="thin">
        <color indexed="64"/>
      </top>
      <bottom/>
      <diagonal/>
    </border>
    <border>
      <left style="thin">
        <color theme="0" tint="-0.249977111117893"/>
      </left>
      <right/>
      <top/>
      <bottom style="thin">
        <color indexed="64"/>
      </bottom>
      <diagonal/>
    </border>
    <border>
      <left style="thin">
        <color theme="0" tint="-0.249977111117893"/>
      </left>
      <right style="thin">
        <color indexed="64"/>
      </right>
      <top/>
      <bottom style="thin">
        <color indexed="64"/>
      </bottom>
      <diagonal/>
    </border>
    <border>
      <left/>
      <right style="thin">
        <color theme="0" tint="-0.249977111117893"/>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top/>
      <bottom/>
      <diagonal/>
    </border>
    <border>
      <left style="thin">
        <color indexed="64"/>
      </left>
      <right style="thin">
        <color theme="2" tint="-9.9948118533890809E-2"/>
      </right>
      <top style="thin">
        <color indexed="64"/>
      </top>
      <bottom style="thin">
        <color theme="2" tint="-9.9948118533890809E-2"/>
      </bottom>
      <diagonal/>
    </border>
    <border>
      <left style="thin">
        <color theme="2" tint="-9.9948118533890809E-2"/>
      </left>
      <right style="thin">
        <color theme="2" tint="-9.9948118533890809E-2"/>
      </right>
      <top style="thin">
        <color indexed="64"/>
      </top>
      <bottom style="thin">
        <color theme="2" tint="-9.9948118533890809E-2"/>
      </bottom>
      <diagonal/>
    </border>
    <border>
      <left style="thin">
        <color theme="2" tint="-9.9948118533890809E-2"/>
      </left>
      <right/>
      <top style="thin">
        <color indexed="64"/>
      </top>
      <bottom style="thin">
        <color theme="2" tint="-9.9948118533890809E-2"/>
      </bottom>
      <diagonal/>
    </border>
    <border>
      <left style="thin">
        <color theme="2" tint="-9.9917600024414813E-2"/>
      </left>
      <right/>
      <top style="thin">
        <color indexed="64"/>
      </top>
      <bottom style="thin">
        <color theme="2" tint="-9.9917600024414813E-2"/>
      </bottom>
      <diagonal/>
    </border>
    <border>
      <left/>
      <right/>
      <top style="thin">
        <color indexed="64"/>
      </top>
      <bottom style="thin">
        <color theme="2" tint="-9.9917600024414813E-2"/>
      </bottom>
      <diagonal/>
    </border>
    <border>
      <left/>
      <right style="thin">
        <color indexed="64"/>
      </right>
      <top style="thin">
        <color indexed="64"/>
      </top>
      <bottom style="thin">
        <color theme="2" tint="-9.9917600024414813E-2"/>
      </bottom>
      <diagonal/>
    </border>
    <border>
      <left style="thin">
        <color indexed="64"/>
      </left>
      <right style="thin">
        <color theme="2" tint="-9.9948118533890809E-2"/>
      </right>
      <top style="thin">
        <color theme="2" tint="-9.9948118533890809E-2"/>
      </top>
      <bottom style="thin">
        <color theme="2" tint="-9.9948118533890809E-2"/>
      </bottom>
      <diagonal/>
    </border>
    <border>
      <left/>
      <right style="thin">
        <color indexed="64"/>
      </right>
      <top style="thin">
        <color theme="2" tint="-9.9917600024414813E-2"/>
      </top>
      <bottom style="thin">
        <color theme="2" tint="-9.9917600024414813E-2"/>
      </bottom>
      <diagonal/>
    </border>
    <border>
      <left style="thin">
        <color indexed="64"/>
      </left>
      <right style="thin">
        <color theme="2" tint="-9.9948118533890809E-2"/>
      </right>
      <top style="thin">
        <color theme="2" tint="-9.9948118533890809E-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48118533890809E-2"/>
      </left>
      <right/>
      <top style="thin">
        <color theme="2" tint="-9.9948118533890809E-2"/>
      </top>
      <bottom style="thin">
        <color indexed="64"/>
      </bottom>
      <diagonal/>
    </border>
    <border>
      <left style="thin">
        <color theme="2" tint="-9.9917600024414813E-2"/>
      </left>
      <right/>
      <top style="thin">
        <color theme="2" tint="-9.9917600024414813E-2"/>
      </top>
      <bottom style="thin">
        <color indexed="64"/>
      </bottom>
      <diagonal/>
    </border>
    <border>
      <left/>
      <right/>
      <top style="thin">
        <color theme="2" tint="-9.9917600024414813E-2"/>
      </top>
      <bottom style="thin">
        <color indexed="64"/>
      </bottom>
      <diagonal/>
    </border>
    <border>
      <left/>
      <right style="thin">
        <color indexed="64"/>
      </right>
      <top style="thin">
        <color theme="2" tint="-9.9917600024414813E-2"/>
      </top>
      <bottom style="thin">
        <color indexed="64"/>
      </bottom>
      <diagonal/>
    </border>
    <border>
      <left style="thin">
        <color theme="2" tint="-9.9978637043366805E-2"/>
      </left>
      <right style="thin">
        <color theme="2" tint="-9.9978637043366805E-2"/>
      </right>
      <top style="thin">
        <color indexed="64"/>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style="thin">
        <color theme="2" tint="-9.9978637043366805E-2"/>
      </left>
      <right/>
      <top style="thin">
        <color indexed="64"/>
      </top>
      <bottom style="thin">
        <color theme="2" tint="-9.9978637043366805E-2"/>
      </bottom>
      <diagonal/>
    </border>
    <border>
      <left style="thin">
        <color theme="2" tint="-9.9978637043366805E-2"/>
      </left>
      <right style="thin">
        <color indexed="64"/>
      </right>
      <top/>
      <bottom style="thin">
        <color theme="2" tint="-9.9978637043366805E-2"/>
      </bottom>
      <diagonal/>
    </border>
    <border>
      <left style="thin">
        <color indexed="64"/>
      </left>
      <right style="thin">
        <color theme="2" tint="-9.9978637043366805E-2"/>
      </right>
      <top/>
      <bottom style="thin">
        <color theme="2" tint="-9.9978637043366805E-2"/>
      </bottom>
      <diagonal/>
    </border>
    <border>
      <left style="thin">
        <color theme="0" tint="-0.34998626667073579"/>
      </left>
      <right/>
      <top style="thin">
        <color indexed="64"/>
      </top>
      <bottom style="thin">
        <color theme="0" tint="-0.34998626667073579"/>
      </bottom>
      <diagonal/>
    </border>
    <border>
      <left style="thin">
        <color theme="0" tint="-0.34998626667073579"/>
      </left>
      <right/>
      <top style="thin">
        <color indexed="64"/>
      </top>
      <bottom/>
      <diagonal/>
    </border>
    <border>
      <left style="thin">
        <color theme="0" tint="-0.34998626667073579"/>
      </left>
      <right/>
      <top/>
      <bottom style="thin">
        <color indexed="64"/>
      </bottom>
      <diagonal/>
    </border>
    <border>
      <left/>
      <right style="thin">
        <color theme="0" tint="-0.34998626667073579"/>
      </right>
      <top style="thin">
        <color indexed="64"/>
      </top>
      <bottom style="thin">
        <color theme="0" tint="-0.34998626667073579"/>
      </bottom>
      <diagonal/>
    </border>
    <border>
      <left style="thin">
        <color theme="2" tint="-9.9948118533890809E-2"/>
      </left>
      <right/>
      <top/>
      <bottom style="thin">
        <color theme="2" tint="-9.9948118533890809E-2"/>
      </bottom>
      <diagonal/>
    </border>
    <border>
      <left/>
      <right/>
      <top style="thin">
        <color theme="0" tint="-0.24994659260841701"/>
      </top>
      <bottom/>
      <diagonal/>
    </border>
    <border>
      <left style="thin">
        <color theme="0" tint="-0.24994659260841701"/>
      </left>
      <right style="thin">
        <color indexed="64"/>
      </right>
      <top/>
      <bottom/>
      <diagonal/>
    </border>
    <border>
      <left style="thin">
        <color theme="0" tint="-0.24994659260841701"/>
      </left>
      <right/>
      <top/>
      <bottom/>
      <diagonal/>
    </border>
    <border>
      <left style="thin">
        <color theme="0" tint="-0.24994659260841701"/>
      </left>
      <right style="thin">
        <color indexed="64"/>
      </right>
      <top/>
      <bottom style="thin">
        <color indexed="64"/>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theme="2" tint="-9.9978637043366805E-2"/>
      </top>
      <bottom style="thin">
        <color theme="2" tint="-9.9978637043366805E-2"/>
      </bottom>
      <diagonal/>
    </border>
    <border>
      <left style="thin">
        <color indexed="64"/>
      </left>
      <right style="thin">
        <color indexed="64"/>
      </right>
      <top style="thin">
        <color theme="2" tint="-9.9978637043366805E-2"/>
      </top>
      <bottom style="thin">
        <color indexed="64"/>
      </bottom>
      <diagonal/>
    </border>
    <border>
      <left style="thin">
        <color indexed="64"/>
      </left>
      <right style="thin">
        <color indexed="64"/>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indexed="64"/>
      </left>
      <right style="thin">
        <color theme="2" tint="-9.9978637043366805E-2"/>
      </right>
      <top style="thin">
        <color indexed="64"/>
      </top>
      <bottom style="thin">
        <color indexed="64"/>
      </bottom>
      <diagonal/>
    </border>
    <border>
      <left style="thin">
        <color theme="2" tint="-9.9978637043366805E-2"/>
      </left>
      <right style="thin">
        <color theme="2" tint="-9.9978637043366805E-2"/>
      </right>
      <top style="thin">
        <color indexed="64"/>
      </top>
      <bottom style="thin">
        <color indexed="64"/>
      </bottom>
      <diagonal/>
    </border>
    <border>
      <left style="thin">
        <color theme="2" tint="-9.9978637043366805E-2"/>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bottom style="thin">
        <color theme="2" tint="-9.9978637043366805E-2"/>
      </bottom>
      <diagonal/>
    </border>
    <border>
      <left/>
      <right/>
      <top style="thin">
        <color theme="2" tint="-9.9978637043366805E-2"/>
      </top>
      <bottom style="thin">
        <color theme="2" tint="-9.9978637043366805E-2"/>
      </bottom>
      <diagonal/>
    </border>
    <border>
      <left/>
      <right/>
      <top style="thin">
        <color theme="2" tint="-9.9978637043366805E-2"/>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diagonal/>
    </border>
    <border>
      <left style="thin">
        <color theme="0" tint="-0.34998626667073579"/>
      </left>
      <right style="thin">
        <color theme="0" tint="-0.34998626667073579"/>
      </right>
      <top/>
      <bottom/>
      <diagonal/>
    </border>
    <border>
      <left style="medium">
        <color indexed="64"/>
      </left>
      <right style="thin">
        <color theme="0" tint="-0.34998626667073579"/>
      </right>
      <top/>
      <bottom/>
      <diagonal/>
    </border>
    <border>
      <left style="thin">
        <color theme="0" tint="-0.34998626667073579"/>
      </left>
      <right style="medium">
        <color indexed="64"/>
      </right>
      <top/>
      <bottom/>
      <diagonal/>
    </border>
    <border>
      <left/>
      <right/>
      <top style="thin">
        <color theme="0" tint="-0.34998626667073579"/>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2" tint="-9.9978637043366805E-2"/>
      </top>
      <bottom style="thin">
        <color indexed="64"/>
      </bottom>
      <diagonal/>
    </border>
    <border>
      <left style="thin">
        <color indexed="64"/>
      </left>
      <right/>
      <top/>
      <bottom style="thin">
        <color theme="2" tint="-9.9978637043366805E-2"/>
      </bottom>
      <diagonal/>
    </border>
    <border>
      <left style="thin">
        <color indexed="64"/>
      </left>
      <right/>
      <top style="thin">
        <color theme="2" tint="-9.9978637043366805E-2"/>
      </top>
      <bottom style="thin">
        <color theme="2" tint="-9.9978637043366805E-2"/>
      </bottom>
      <diagonal/>
    </border>
    <border>
      <left style="medium">
        <color indexed="64"/>
      </left>
      <right style="medium">
        <color indexed="64"/>
      </right>
      <top/>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right style="thin">
        <color indexed="64"/>
      </right>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indexed="64"/>
      </bottom>
      <diagonal/>
    </border>
    <border>
      <left style="medium">
        <color indexed="64"/>
      </left>
      <right/>
      <top style="thin">
        <color theme="0" tint="-0.34998626667073579"/>
      </top>
      <bottom style="medium">
        <color indexed="64"/>
      </bottom>
      <diagonal/>
    </border>
    <border>
      <left style="medium">
        <color indexed="64"/>
      </left>
      <right/>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bottom style="thin">
        <color indexed="64"/>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diagonal/>
    </border>
    <border>
      <left style="thin">
        <color theme="0" tint="-0.499984740745262"/>
      </left>
      <right/>
      <top/>
      <bottom/>
      <diagonal/>
    </border>
    <border>
      <left/>
      <right style="thin">
        <color indexed="64"/>
      </right>
      <top/>
      <bottom style="thin">
        <color theme="0" tint="-0.499984740745262"/>
      </bottom>
      <diagonal/>
    </border>
    <border>
      <left style="thin">
        <color theme="0" tint="-0.499984740745262"/>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theme="0" tint="-0.499984740745262"/>
      </top>
      <bottom style="thin">
        <color indexed="64"/>
      </bottom>
      <diagonal/>
    </border>
    <border>
      <left/>
      <right style="thin">
        <color indexed="64"/>
      </right>
      <top style="thin">
        <color indexed="64"/>
      </top>
      <bottom style="thin">
        <color theme="0" tint="-0.499984740745262"/>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medium">
        <color indexed="64"/>
      </left>
      <right style="thin">
        <color theme="0" tint="-0.34998626667073579"/>
      </right>
      <top/>
      <bottom style="medium">
        <color indexed="64"/>
      </bottom>
      <diagonal/>
    </border>
    <border>
      <left style="medium">
        <color indexed="64"/>
      </left>
      <right style="thin">
        <color theme="0" tint="-0.34998626667073579"/>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medium">
        <color indexed="64"/>
      </left>
      <right style="thin">
        <color theme="0" tint="-0.34998626667073579"/>
      </right>
      <top style="thin">
        <color indexed="64"/>
      </top>
      <bottom/>
      <diagonal/>
    </border>
    <border>
      <left style="thin">
        <color theme="0" tint="-0.34998626667073579"/>
      </left>
      <right style="medium">
        <color indexed="64"/>
      </right>
      <top style="thin">
        <color indexed="64"/>
      </top>
      <bottom style="thin">
        <color theme="0" tint="-0.34998626667073579"/>
      </bottom>
      <diagonal/>
    </border>
    <border>
      <left style="medium">
        <color indexed="64"/>
      </left>
      <right style="thin">
        <color theme="0" tint="-0.34998626667073579"/>
      </right>
      <top/>
      <bottom style="thin">
        <color indexed="64"/>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style="thin">
        <color theme="0" tint="-0.34998626667073579"/>
      </right>
      <top style="medium">
        <color indexed="64"/>
      </top>
      <bottom/>
      <diagonal/>
    </border>
    <border>
      <left/>
      <right style="thin">
        <color indexed="64"/>
      </right>
      <top style="medium">
        <color indexed="64"/>
      </top>
      <bottom/>
      <diagonal/>
    </border>
    <border>
      <left style="thin">
        <color theme="0" tint="-0.24994659260841701"/>
      </left>
      <right style="thin">
        <color indexed="64"/>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top style="thin">
        <color indexed="64"/>
      </top>
      <bottom style="thin">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style="thin">
        <color indexed="64"/>
      </bottom>
      <diagonal/>
    </border>
    <border>
      <left/>
      <right style="thin">
        <color theme="0" tint="-0.24994659260841701"/>
      </right>
      <top style="thin">
        <color indexed="64"/>
      </top>
      <bottom style="thin">
        <color theme="0" tint="-0.24994659260841701"/>
      </bottom>
      <diagonal/>
    </border>
    <border>
      <left style="thin">
        <color theme="0" tint="-0.34998626667073579"/>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xf numFmtId="0" fontId="22" fillId="0" borderId="0"/>
    <xf numFmtId="44" fontId="1" fillId="0" borderId="0" applyFont="0" applyFill="0" applyBorder="0" applyAlignment="0" applyProtection="0"/>
    <xf numFmtId="0" fontId="5" fillId="0" borderId="91" applyNumberFormat="0" applyProtection="0">
      <alignment wrapText="1"/>
    </xf>
    <xf numFmtId="0" fontId="37" fillId="0" borderId="92" applyNumberFormat="0" applyFont="0" applyProtection="0">
      <alignment wrapText="1"/>
    </xf>
    <xf numFmtId="0" fontId="68" fillId="0" borderId="0" applyNumberFormat="0" applyFill="0" applyBorder="0" applyAlignment="0" applyProtection="0"/>
    <xf numFmtId="0" fontId="78" fillId="0" borderId="0"/>
  </cellStyleXfs>
  <cellXfs count="1886">
    <xf numFmtId="0" fontId="0" fillId="0" borderId="0" xfId="0"/>
    <xf numFmtId="0" fontId="0" fillId="0" borderId="0" xfId="0" applyAlignment="1">
      <alignment horizontal="right"/>
    </xf>
    <xf numFmtId="9" fontId="0" fillId="0" borderId="0" xfId="2" applyFont="1"/>
    <xf numFmtId="0" fontId="2" fillId="0" borderId="0" xfId="0" applyFont="1"/>
    <xf numFmtId="43" fontId="0" fillId="0" borderId="0" xfId="0" applyNumberFormat="1"/>
    <xf numFmtId="0" fontId="0" fillId="0" borderId="1" xfId="0" applyBorder="1"/>
    <xf numFmtId="0" fontId="0" fillId="3" borderId="1" xfId="0" applyFill="1" applyBorder="1"/>
    <xf numFmtId="2" fontId="0" fillId="3" borderId="1" xfId="0" applyNumberFormat="1" applyFill="1" applyBorder="1"/>
    <xf numFmtId="43" fontId="0" fillId="3" borderId="1" xfId="0" applyNumberFormat="1" applyFill="1" applyBorder="1"/>
    <xf numFmtId="0" fontId="2" fillId="3" borderId="1" xfId="0" applyFont="1" applyFill="1" applyBorder="1"/>
    <xf numFmtId="0" fontId="0" fillId="0" borderId="0" xfId="0" quotePrefix="1"/>
    <xf numFmtId="0" fontId="0" fillId="0" borderId="0" xfId="0" quotePrefix="1" applyAlignment="1">
      <alignment horizontal="center"/>
    </xf>
    <xf numFmtId="43" fontId="0" fillId="0" borderId="1" xfId="1" applyFont="1" applyBorder="1"/>
    <xf numFmtId="43" fontId="0" fillId="3" borderId="1" xfId="1" applyFont="1" applyFill="1" applyBorder="1"/>
    <xf numFmtId="49" fontId="0" fillId="4" borderId="1" xfId="0" applyNumberFormat="1" applyFill="1" applyBorder="1" applyAlignment="1">
      <alignment horizontal="center"/>
    </xf>
    <xf numFmtId="0" fontId="5" fillId="0" borderId="1" xfId="0" applyFont="1" applyBorder="1" applyAlignment="1">
      <alignment horizontal="center" wrapText="1"/>
    </xf>
    <xf numFmtId="0" fontId="0" fillId="0" borderId="1" xfId="0" applyBorder="1" applyAlignment="1">
      <alignment wrapText="1"/>
    </xf>
    <xf numFmtId="0" fontId="5" fillId="0" borderId="4" xfId="0" applyFont="1" applyBorder="1" applyAlignment="1">
      <alignment horizontal="center" wrapText="1"/>
    </xf>
    <xf numFmtId="0" fontId="0" fillId="0" borderId="5" xfId="0" applyBorder="1"/>
    <xf numFmtId="0" fontId="0" fillId="0" borderId="2" xfId="0" applyBorder="1"/>
    <xf numFmtId="0" fontId="0" fillId="0" borderId="0" xfId="0" applyAlignment="1">
      <alignment wrapText="1"/>
    </xf>
    <xf numFmtId="0" fontId="0" fillId="0" borderId="4" xfId="0" applyBorder="1"/>
    <xf numFmtId="0" fontId="0" fillId="5" borderId="4" xfId="0" applyFill="1" applyBorder="1"/>
    <xf numFmtId="0" fontId="0" fillId="0" borderId="8" xfId="0" applyBorder="1"/>
    <xf numFmtId="0" fontId="0" fillId="0" borderId="12" xfId="0" applyBorder="1"/>
    <xf numFmtId="0" fontId="0" fillId="0" borderId="13" xfId="0" applyBorder="1"/>
    <xf numFmtId="0" fontId="0" fillId="0" borderId="5" xfId="0" applyBorder="1" applyAlignment="1">
      <alignment wrapText="1"/>
    </xf>
    <xf numFmtId="0" fontId="0" fillId="0" borderId="17" xfId="0" applyBorder="1"/>
    <xf numFmtId="0" fontId="0" fillId="0" borderId="6" xfId="0" applyBorder="1"/>
    <xf numFmtId="0" fontId="0" fillId="0" borderId="18" xfId="0" applyBorder="1"/>
    <xf numFmtId="0" fontId="5" fillId="0" borderId="12" xfId="0" applyFont="1" applyBorder="1" applyAlignment="1">
      <alignment horizontal="center" wrapText="1"/>
    </xf>
    <xf numFmtId="0" fontId="5" fillId="0" borderId="13" xfId="0" applyFont="1" applyBorder="1" applyAlignment="1">
      <alignment horizontal="center" wrapText="1"/>
    </xf>
    <xf numFmtId="49" fontId="0" fillId="4" borderId="12" xfId="0" applyNumberFormat="1" applyFill="1" applyBorder="1" applyAlignment="1">
      <alignment horizontal="center"/>
    </xf>
    <xf numFmtId="0" fontId="0" fillId="4" borderId="13" xfId="0" applyFill="1" applyBorder="1" applyAlignment="1">
      <alignment horizontal="center"/>
    </xf>
    <xf numFmtId="49" fontId="0" fillId="5" borderId="14" xfId="0" applyNumberFormat="1" applyFill="1" applyBorder="1" applyAlignment="1">
      <alignment horizontal="center"/>
    </xf>
    <xf numFmtId="0" fontId="0" fillId="5" borderId="19" xfId="0" applyFill="1" applyBorder="1"/>
    <xf numFmtId="0" fontId="0" fillId="5" borderId="16" xfId="0" applyFill="1" applyBorder="1" applyAlignment="1">
      <alignment horizontal="center"/>
    </xf>
    <xf numFmtId="0" fontId="0" fillId="5" borderId="14" xfId="0" applyFill="1" applyBorder="1" applyAlignment="1">
      <alignment horizontal="center"/>
    </xf>
    <xf numFmtId="0" fontId="0" fillId="0" borderId="21" xfId="0" applyBorder="1"/>
    <xf numFmtId="0" fontId="0" fillId="0" borderId="8" xfId="0" applyBorder="1" applyAlignment="1">
      <alignment wrapText="1"/>
    </xf>
    <xf numFmtId="0" fontId="0" fillId="0" borderId="3" xfId="0" applyBorder="1"/>
    <xf numFmtId="9" fontId="0" fillId="2" borderId="5" xfId="0" applyNumberFormat="1" applyFill="1" applyBorder="1"/>
    <xf numFmtId="0" fontId="0" fillId="2" borderId="1" xfId="0" applyFill="1" applyBorder="1"/>
    <xf numFmtId="0" fontId="0" fillId="2" borderId="0" xfId="0" applyFill="1"/>
    <xf numFmtId="43" fontId="0" fillId="0" borderId="1" xfId="1" applyFont="1" applyFill="1" applyBorder="1"/>
    <xf numFmtId="9" fontId="0" fillId="0" borderId="4" xfId="2" applyFont="1" applyBorder="1" applyAlignment="1">
      <alignment horizontal="center"/>
    </xf>
    <xf numFmtId="0" fontId="5" fillId="6" borderId="28" xfId="0" applyFont="1" applyFill="1" applyBorder="1" applyAlignment="1">
      <alignment horizontal="center" wrapText="1"/>
    </xf>
    <xf numFmtId="0" fontId="5" fillId="6" borderId="1" xfId="0" applyFont="1" applyFill="1" applyBorder="1" applyAlignment="1">
      <alignment horizontal="center" wrapText="1"/>
    </xf>
    <xf numFmtId="0" fontId="5" fillId="6" borderId="13" xfId="0" applyFont="1" applyFill="1" applyBorder="1" applyAlignment="1">
      <alignment horizontal="center" wrapText="1"/>
    </xf>
    <xf numFmtId="0" fontId="5" fillId="7" borderId="7" xfId="0" applyFont="1" applyFill="1" applyBorder="1" applyAlignment="1">
      <alignment horizontal="center" wrapText="1"/>
    </xf>
    <xf numFmtId="0" fontId="5" fillId="7" borderId="13" xfId="0" applyFont="1" applyFill="1" applyBorder="1" applyAlignment="1">
      <alignment horizontal="center" wrapText="1"/>
    </xf>
    <xf numFmtId="0" fontId="5" fillId="8" borderId="12" xfId="0" applyFont="1" applyFill="1" applyBorder="1" applyAlignment="1">
      <alignment horizontal="center" wrapText="1"/>
    </xf>
    <xf numFmtId="0" fontId="5" fillId="8" borderId="1" xfId="0" applyFont="1" applyFill="1" applyBorder="1" applyAlignment="1">
      <alignment horizontal="center" wrapText="1"/>
    </xf>
    <xf numFmtId="0" fontId="5" fillId="8" borderId="13" xfId="0" applyFont="1" applyFill="1" applyBorder="1" applyAlignment="1">
      <alignment horizontal="center" wrapText="1"/>
    </xf>
    <xf numFmtId="0" fontId="2" fillId="0" borderId="30" xfId="0" applyFont="1" applyBorder="1"/>
    <xf numFmtId="0" fontId="2" fillId="0" borderId="26" xfId="0" applyFont="1" applyBorder="1"/>
    <xf numFmtId="0" fontId="2" fillId="0" borderId="27" xfId="0" applyFont="1" applyBorder="1"/>
    <xf numFmtId="0" fontId="0" fillId="0" borderId="31" xfId="0" applyBorder="1"/>
    <xf numFmtId="0" fontId="0" fillId="0" borderId="32" xfId="0" applyBorder="1"/>
    <xf numFmtId="0" fontId="0" fillId="0" borderId="23" xfId="0" applyBorder="1"/>
    <xf numFmtId="0" fontId="0" fillId="0" borderId="22" xfId="0" applyBorder="1"/>
    <xf numFmtId="0" fontId="0" fillId="0" borderId="33" xfId="0" applyBorder="1"/>
    <xf numFmtId="0" fontId="0" fillId="0" borderId="34" xfId="0" applyBorder="1"/>
    <xf numFmtId="0" fontId="0" fillId="0" borderId="35" xfId="0" applyBorder="1"/>
    <xf numFmtId="0" fontId="2" fillId="0" borderId="36" xfId="0" applyFont="1" applyBorder="1"/>
    <xf numFmtId="0" fontId="2" fillId="0" borderId="37" xfId="0" applyFont="1" applyBorder="1"/>
    <xf numFmtId="0" fontId="2" fillId="0" borderId="13" xfId="0" applyFont="1" applyBorder="1"/>
    <xf numFmtId="0" fontId="0" fillId="0" borderId="20" xfId="0" applyBorder="1"/>
    <xf numFmtId="0" fontId="0" fillId="0" borderId="38" xfId="0" applyBorder="1"/>
    <xf numFmtId="0" fontId="0" fillId="0" borderId="19" xfId="0" applyBorder="1" applyAlignment="1">
      <alignment wrapText="1"/>
    </xf>
    <xf numFmtId="0" fontId="0" fillId="0" borderId="19" xfId="0" applyBorder="1"/>
    <xf numFmtId="0" fontId="0" fillId="0" borderId="16" xfId="0" applyBorder="1"/>
    <xf numFmtId="0" fontId="8" fillId="2" borderId="1" xfId="0" applyFont="1" applyFill="1" applyBorder="1"/>
    <xf numFmtId="9" fontId="0" fillId="0" borderId="1" xfId="2" applyFont="1" applyBorder="1"/>
    <xf numFmtId="0" fontId="0" fillId="0" borderId="39" xfId="0" applyBorder="1"/>
    <xf numFmtId="0" fontId="0" fillId="0" borderId="24" xfId="0" applyBorder="1" applyAlignment="1">
      <alignment wrapText="1"/>
    </xf>
    <xf numFmtId="0" fontId="0" fillId="2" borderId="19" xfId="0" applyFill="1" applyBorder="1"/>
    <xf numFmtId="9" fontId="0" fillId="2" borderId="1" xfId="2" applyFont="1" applyFill="1" applyBorder="1"/>
    <xf numFmtId="0" fontId="0" fillId="3" borderId="1" xfId="0" applyFill="1" applyBorder="1" applyAlignment="1">
      <alignment wrapText="1"/>
    </xf>
    <xf numFmtId="9" fontId="0" fillId="2" borderId="1" xfId="0" applyNumberFormat="1" applyFill="1" applyBorder="1"/>
    <xf numFmtId="43" fontId="0" fillId="5" borderId="19" xfId="1" applyFont="1" applyFill="1" applyBorder="1" applyAlignment="1">
      <alignment horizontal="center"/>
    </xf>
    <xf numFmtId="0" fontId="0" fillId="0" borderId="1" xfId="0" applyBorder="1" applyAlignment="1">
      <alignment horizontal="left" wrapText="1"/>
    </xf>
    <xf numFmtId="0" fontId="0" fillId="11" borderId="19" xfId="0" applyFill="1" applyBorder="1"/>
    <xf numFmtId="1" fontId="0" fillId="11" borderId="1" xfId="0" applyNumberFormat="1" applyFill="1" applyBorder="1"/>
    <xf numFmtId="166" fontId="0" fillId="0" borderId="1" xfId="1" applyNumberFormat="1" applyFont="1" applyFill="1" applyBorder="1" applyAlignment="1">
      <alignment horizontal="center"/>
    </xf>
    <xf numFmtId="166" fontId="0" fillId="0" borderId="1" xfId="1" applyNumberFormat="1" applyFont="1" applyFill="1" applyBorder="1"/>
    <xf numFmtId="166" fontId="0" fillId="0" borderId="0" xfId="0" applyNumberFormat="1"/>
    <xf numFmtId="166" fontId="0" fillId="0" borderId="4" xfId="1" applyNumberFormat="1" applyFont="1" applyFill="1" applyBorder="1" applyAlignment="1">
      <alignment horizontal="center"/>
    </xf>
    <xf numFmtId="166" fontId="0" fillId="0" borderId="12" xfId="1" applyNumberFormat="1" applyFont="1" applyFill="1" applyBorder="1"/>
    <xf numFmtId="166" fontId="0" fillId="0" borderId="13" xfId="1" applyNumberFormat="1" applyFont="1" applyFill="1" applyBorder="1"/>
    <xf numFmtId="166" fontId="0" fillId="0" borderId="12" xfId="1" applyNumberFormat="1" applyFont="1" applyFill="1" applyBorder="1" applyAlignment="1">
      <alignment horizontal="center"/>
    </xf>
    <xf numFmtId="166" fontId="0" fillId="0" borderId="13" xfId="1" applyNumberFormat="1" applyFont="1" applyFill="1" applyBorder="1" applyAlignment="1">
      <alignment horizontal="center"/>
    </xf>
    <xf numFmtId="166" fontId="0" fillId="0" borderId="41" xfId="1" applyNumberFormat="1" applyFont="1" applyFill="1" applyBorder="1"/>
    <xf numFmtId="43" fontId="0" fillId="0" borderId="12" xfId="1" applyFont="1" applyFill="1" applyBorder="1"/>
    <xf numFmtId="43" fontId="0" fillId="0" borderId="13" xfId="1" applyFont="1" applyFill="1" applyBorder="1"/>
    <xf numFmtId="0" fontId="0" fillId="0" borderId="0" xfId="0" applyAlignment="1">
      <alignment horizontal="left"/>
    </xf>
    <xf numFmtId="0" fontId="0" fillId="0" borderId="0" xfId="0" pivotButton="1" applyAlignment="1">
      <alignment wrapText="1"/>
    </xf>
    <xf numFmtId="0" fontId="0" fillId="10" borderId="1" xfId="0" applyFill="1" applyBorder="1" applyAlignment="1">
      <alignment wrapText="1"/>
    </xf>
    <xf numFmtId="43" fontId="0" fillId="12" borderId="13" xfId="1" applyFont="1" applyFill="1" applyBorder="1"/>
    <xf numFmtId="166" fontId="0" fillId="12" borderId="1" xfId="1" applyNumberFormat="1" applyFont="1" applyFill="1" applyBorder="1" applyAlignment="1">
      <alignment horizontal="center"/>
    </xf>
    <xf numFmtId="0" fontId="0" fillId="5" borderId="25" xfId="0" applyFill="1" applyBorder="1"/>
    <xf numFmtId="0" fontId="0" fillId="5" borderId="27" xfId="0" applyFill="1" applyBorder="1"/>
    <xf numFmtId="0" fontId="0" fillId="5" borderId="1" xfId="0" applyFill="1" applyBorder="1" applyAlignment="1">
      <alignment wrapText="1"/>
    </xf>
    <xf numFmtId="0" fontId="0" fillId="5" borderId="4" xfId="0" applyFill="1" applyBorder="1" applyAlignment="1">
      <alignment wrapText="1"/>
    </xf>
    <xf numFmtId="0" fontId="0" fillId="5" borderId="12" xfId="0" applyFill="1" applyBorder="1" applyAlignment="1">
      <alignment wrapText="1"/>
    </xf>
    <xf numFmtId="0" fontId="0" fillId="5" borderId="13" xfId="0" applyFill="1" applyBorder="1" applyAlignment="1">
      <alignment wrapText="1"/>
    </xf>
    <xf numFmtId="166" fontId="0" fillId="0" borderId="41" xfId="1" applyNumberFormat="1" applyFont="1" applyFill="1" applyBorder="1" applyAlignment="1">
      <alignment horizontal="center"/>
    </xf>
    <xf numFmtId="0" fontId="9" fillId="0" borderId="0" xfId="0" applyFont="1"/>
    <xf numFmtId="9" fontId="0" fillId="0" borderId="1" xfId="2" applyFont="1" applyFill="1" applyBorder="1"/>
    <xf numFmtId="43" fontId="0" fillId="2" borderId="1" xfId="1" applyFont="1" applyFill="1" applyBorder="1"/>
    <xf numFmtId="9" fontId="0" fillId="3" borderId="1" xfId="2" applyFont="1" applyFill="1" applyBorder="1"/>
    <xf numFmtId="10" fontId="0" fillId="0" borderId="0" xfId="2" applyNumberFormat="1" applyFont="1"/>
    <xf numFmtId="10" fontId="0" fillId="0" borderId="0" xfId="0" applyNumberFormat="1"/>
    <xf numFmtId="0" fontId="0" fillId="0" borderId="41" xfId="0" applyBorder="1"/>
    <xf numFmtId="0" fontId="0" fillId="0" borderId="43" xfId="0" applyBorder="1"/>
    <xf numFmtId="0" fontId="0" fillId="0" borderId="2" xfId="0" applyBorder="1" applyAlignment="1">
      <alignment horizontal="left" wrapText="1"/>
    </xf>
    <xf numFmtId="0" fontId="0" fillId="0" borderId="2" xfId="0" applyBorder="1" applyAlignment="1">
      <alignment wrapText="1"/>
    </xf>
    <xf numFmtId="0" fontId="2" fillId="2" borderId="40" xfId="0" applyFont="1" applyFill="1" applyBorder="1"/>
    <xf numFmtId="0" fontId="2" fillId="2" borderId="40" xfId="0" applyFont="1" applyFill="1" applyBorder="1" applyAlignment="1">
      <alignment wrapText="1"/>
    </xf>
    <xf numFmtId="0" fontId="0" fillId="10" borderId="2" xfId="0" applyFill="1" applyBorder="1"/>
    <xf numFmtId="167" fontId="0" fillId="10" borderId="2" xfId="1" applyNumberFormat="1" applyFont="1" applyFill="1" applyBorder="1"/>
    <xf numFmtId="0" fontId="0" fillId="0" borderId="41" xfId="0" applyBorder="1" applyAlignment="1">
      <alignment wrapText="1"/>
    </xf>
    <xf numFmtId="0" fontId="0" fillId="0" borderId="10" xfId="0" applyBorder="1"/>
    <xf numFmtId="0" fontId="0" fillId="5" borderId="2" xfId="0" applyFill="1" applyBorder="1"/>
    <xf numFmtId="1" fontId="0" fillId="5" borderId="2" xfId="0" applyNumberFormat="1" applyFill="1" applyBorder="1"/>
    <xf numFmtId="0" fontId="0" fillId="5" borderId="46" xfId="0" applyFill="1" applyBorder="1" applyAlignment="1">
      <alignment horizontal="center"/>
    </xf>
    <xf numFmtId="0" fontId="0" fillId="5" borderId="47" xfId="0" applyFill="1" applyBorder="1" applyAlignment="1">
      <alignment horizontal="center"/>
    </xf>
    <xf numFmtId="0" fontId="0" fillId="0" borderId="48" xfId="0" applyBorder="1"/>
    <xf numFmtId="0" fontId="5" fillId="0" borderId="49" xfId="0" applyFont="1" applyBorder="1" applyAlignment="1">
      <alignment horizontal="center" wrapText="1"/>
    </xf>
    <xf numFmtId="0" fontId="0" fillId="0" borderId="49" xfId="0" applyBorder="1"/>
    <xf numFmtId="0" fontId="0" fillId="5" borderId="50" xfId="0" applyFill="1" applyBorder="1" applyAlignment="1">
      <alignment horizontal="center"/>
    </xf>
    <xf numFmtId="0" fontId="0" fillId="0" borderId="25" xfId="0" applyBorder="1"/>
    <xf numFmtId="0" fontId="0" fillId="0" borderId="27" xfId="0" applyBorder="1"/>
    <xf numFmtId="0" fontId="5" fillId="6" borderId="12" xfId="0" applyFont="1" applyFill="1" applyBorder="1" applyAlignment="1">
      <alignment horizontal="center" wrapText="1"/>
    </xf>
    <xf numFmtId="1" fontId="0" fillId="0" borderId="12" xfId="0" applyNumberFormat="1" applyBorder="1"/>
    <xf numFmtId="1" fontId="0" fillId="0" borderId="13" xfId="0" applyNumberFormat="1" applyBorder="1"/>
    <xf numFmtId="43" fontId="0" fillId="0" borderId="12" xfId="1" applyFont="1" applyBorder="1"/>
    <xf numFmtId="43" fontId="0" fillId="5" borderId="14" xfId="1" applyFont="1" applyFill="1" applyBorder="1" applyAlignment="1">
      <alignment horizontal="center"/>
    </xf>
    <xf numFmtId="43" fontId="0" fillId="5" borderId="16" xfId="1" applyFont="1" applyFill="1" applyBorder="1" applyAlignment="1">
      <alignment horizontal="center"/>
    </xf>
    <xf numFmtId="0" fontId="2" fillId="0" borderId="13" xfId="0" applyFont="1" applyBorder="1" applyAlignment="1">
      <alignment wrapText="1"/>
    </xf>
    <xf numFmtId="43" fontId="0" fillId="0" borderId="13" xfId="1" applyFont="1" applyBorder="1"/>
    <xf numFmtId="0" fontId="0" fillId="0" borderId="26" xfId="0" applyBorder="1" applyAlignment="1">
      <alignment wrapText="1"/>
    </xf>
    <xf numFmtId="0" fontId="0" fillId="0" borderId="26" xfId="0" applyBorder="1"/>
    <xf numFmtId="0" fontId="0" fillId="0" borderId="25" xfId="0" applyBorder="1" applyAlignment="1">
      <alignment wrapText="1"/>
    </xf>
    <xf numFmtId="0" fontId="0" fillId="0" borderId="27" xfId="0" applyBorder="1" applyAlignment="1">
      <alignment wrapText="1"/>
    </xf>
    <xf numFmtId="0" fontId="0" fillId="0" borderId="14" xfId="0" applyBorder="1"/>
    <xf numFmtId="0" fontId="10" fillId="4" borderId="0" xfId="0" applyFont="1" applyFill="1"/>
    <xf numFmtId="0" fontId="0" fillId="4" borderId="0" xfId="0" applyFill="1"/>
    <xf numFmtId="0" fontId="2" fillId="4" borderId="0" xfId="0" applyFont="1" applyFill="1"/>
    <xf numFmtId="0" fontId="21" fillId="4" borderId="0" xfId="0" applyFont="1" applyFill="1"/>
    <xf numFmtId="0" fontId="23" fillId="4" borderId="0" xfId="0" applyFont="1" applyFill="1"/>
    <xf numFmtId="0" fontId="0" fillId="4" borderId="1" xfId="0" applyFill="1" applyBorder="1"/>
    <xf numFmtId="0" fontId="0" fillId="0" borderId="14" xfId="0" applyBorder="1" applyAlignment="1">
      <alignment wrapText="1"/>
    </xf>
    <xf numFmtId="166" fontId="0" fillId="2" borderId="1" xfId="1" applyNumberFormat="1" applyFont="1" applyFill="1" applyBorder="1"/>
    <xf numFmtId="0" fontId="0" fillId="6" borderId="2" xfId="0" applyFill="1" applyBorder="1"/>
    <xf numFmtId="9" fontId="0" fillId="6" borderId="2" xfId="2" applyFont="1" applyFill="1" applyBorder="1"/>
    <xf numFmtId="168" fontId="0" fillId="6" borderId="2" xfId="1" applyNumberFormat="1" applyFont="1" applyFill="1" applyBorder="1"/>
    <xf numFmtId="166" fontId="0" fillId="6" borderId="2" xfId="1" applyNumberFormat="1" applyFont="1" applyFill="1" applyBorder="1"/>
    <xf numFmtId="9" fontId="0" fillId="6" borderId="2" xfId="0" applyNumberFormat="1" applyFill="1" applyBorder="1"/>
    <xf numFmtId="1" fontId="0" fillId="16" borderId="1" xfId="0" applyNumberFormat="1" applyFill="1" applyBorder="1"/>
    <xf numFmtId="165" fontId="0" fillId="2" borderId="1" xfId="1" applyNumberFormat="1" applyFont="1" applyFill="1" applyBorder="1"/>
    <xf numFmtId="1" fontId="0" fillId="2" borderId="1" xfId="0" applyNumberFormat="1" applyFill="1" applyBorder="1"/>
    <xf numFmtId="0" fontId="0" fillId="0" borderId="1" xfId="0" applyBorder="1" applyAlignment="1">
      <alignment horizontal="right"/>
    </xf>
    <xf numFmtId="0" fontId="0" fillId="0" borderId="0" xfId="0" applyAlignment="1">
      <alignment horizontal="left" wrapText="1"/>
    </xf>
    <xf numFmtId="0" fontId="0" fillId="20" borderId="1" xfId="0" applyFill="1" applyBorder="1"/>
    <xf numFmtId="0" fontId="0" fillId="20" borderId="0" xfId="0" applyFill="1"/>
    <xf numFmtId="0" fontId="0" fillId="20" borderId="1" xfId="0" applyFill="1" applyBorder="1" applyAlignment="1">
      <alignment wrapText="1"/>
    </xf>
    <xf numFmtId="0" fontId="24" fillId="4" borderId="0" xfId="0" applyFont="1" applyFill="1"/>
    <xf numFmtId="43" fontId="0" fillId="20" borderId="1" xfId="0" applyNumberFormat="1" applyFill="1" applyBorder="1"/>
    <xf numFmtId="0" fontId="0" fillId="5" borderId="26" xfId="0" applyFill="1" applyBorder="1"/>
    <xf numFmtId="0" fontId="0" fillId="0" borderId="28" xfId="0" applyBorder="1"/>
    <xf numFmtId="0" fontId="0" fillId="4" borderId="12" xfId="0" applyFill="1" applyBorder="1" applyAlignment="1">
      <alignment horizontal="center"/>
    </xf>
    <xf numFmtId="0" fontId="0" fillId="4" borderId="1" xfId="0" applyFill="1" applyBorder="1" applyAlignment="1">
      <alignment horizontal="center"/>
    </xf>
    <xf numFmtId="166" fontId="0" fillId="0" borderId="1" xfId="1" applyNumberFormat="1" applyFont="1" applyBorder="1" applyAlignment="1">
      <alignment horizontal="center"/>
    </xf>
    <xf numFmtId="166" fontId="0" fillId="6" borderId="2" xfId="0" applyNumberFormat="1" applyFill="1" applyBorder="1"/>
    <xf numFmtId="166" fontId="0" fillId="6" borderId="41" xfId="0" applyNumberFormat="1" applyFill="1" applyBorder="1"/>
    <xf numFmtId="166" fontId="0" fillId="5" borderId="16" xfId="1" applyNumberFormat="1" applyFont="1" applyFill="1" applyBorder="1" applyAlignment="1">
      <alignment horizontal="center"/>
    </xf>
    <xf numFmtId="166" fontId="0" fillId="5" borderId="14" xfId="1" applyNumberFormat="1" applyFont="1" applyFill="1" applyBorder="1" applyAlignment="1">
      <alignment horizontal="center"/>
    </xf>
    <xf numFmtId="166" fontId="0" fillId="5" borderId="19" xfId="1" applyNumberFormat="1" applyFont="1" applyFill="1" applyBorder="1" applyAlignment="1">
      <alignment horizontal="center"/>
    </xf>
    <xf numFmtId="166" fontId="0" fillId="5" borderId="15" xfId="1" applyNumberFormat="1" applyFont="1" applyFill="1" applyBorder="1" applyAlignment="1">
      <alignment horizontal="center"/>
    </xf>
    <xf numFmtId="166" fontId="0" fillId="5" borderId="29" xfId="1" applyNumberFormat="1" applyFont="1" applyFill="1" applyBorder="1"/>
    <xf numFmtId="166" fontId="0" fillId="5" borderId="19" xfId="1" applyNumberFormat="1" applyFont="1" applyFill="1" applyBorder="1"/>
    <xf numFmtId="166" fontId="1" fillId="5" borderId="19" xfId="1" applyNumberFormat="1" applyFont="1" applyFill="1" applyBorder="1"/>
    <xf numFmtId="166" fontId="0" fillId="5" borderId="14" xfId="1" applyNumberFormat="1" applyFont="1" applyFill="1" applyBorder="1"/>
    <xf numFmtId="166" fontId="0" fillId="5" borderId="24" xfId="1" applyNumberFormat="1" applyFont="1" applyFill="1" applyBorder="1"/>
    <xf numFmtId="166" fontId="0" fillId="5" borderId="16" xfId="1" applyNumberFormat="1" applyFont="1" applyFill="1" applyBorder="1"/>
    <xf numFmtId="43" fontId="1" fillId="5" borderId="16" xfId="1" applyFont="1" applyFill="1" applyBorder="1"/>
    <xf numFmtId="43" fontId="1" fillId="5" borderId="19" xfId="1" applyFont="1" applyFill="1" applyBorder="1"/>
    <xf numFmtId="0" fontId="0" fillId="0" borderId="0" xfId="0" applyAlignment="1">
      <alignment horizontal="center"/>
    </xf>
    <xf numFmtId="169" fontId="0" fillId="6" borderId="2" xfId="0" applyNumberFormat="1" applyFill="1" applyBorder="1"/>
    <xf numFmtId="9" fontId="0" fillId="5" borderId="2" xfId="2" applyFont="1" applyFill="1" applyBorder="1"/>
    <xf numFmtId="0" fontId="0" fillId="9" borderId="1" xfId="0" applyFill="1" applyBorder="1"/>
    <xf numFmtId="0" fontId="0" fillId="9" borderId="1" xfId="0" applyFill="1" applyBorder="1" applyAlignment="1">
      <alignment horizontal="right" wrapText="1"/>
    </xf>
    <xf numFmtId="9" fontId="0" fillId="21" borderId="1" xfId="2" applyFont="1" applyFill="1" applyBorder="1"/>
    <xf numFmtId="0" fontId="0" fillId="9" borderId="13" xfId="0" applyFill="1" applyBorder="1" applyAlignment="1">
      <alignment horizontal="center"/>
    </xf>
    <xf numFmtId="0" fontId="0" fillId="3" borderId="13" xfId="0" applyFill="1" applyBorder="1" applyAlignment="1">
      <alignment horizontal="center"/>
    </xf>
    <xf numFmtId="170" fontId="0" fillId="0" borderId="0" xfId="0" applyNumberFormat="1"/>
    <xf numFmtId="0" fontId="28" fillId="23" borderId="0" xfId="0" applyFont="1" applyFill="1"/>
    <xf numFmtId="0" fontId="26" fillId="23" borderId="0" xfId="0" applyFont="1" applyFill="1"/>
    <xf numFmtId="0" fontId="27" fillId="25" borderId="1" xfId="0" applyFont="1" applyFill="1" applyBorder="1" applyAlignment="1">
      <alignment wrapText="1"/>
    </xf>
    <xf numFmtId="0" fontId="27" fillId="25" borderId="8" xfId="0" applyFont="1" applyFill="1" applyBorder="1" applyAlignment="1">
      <alignment wrapText="1"/>
    </xf>
    <xf numFmtId="0" fontId="27" fillId="25" borderId="21" xfId="0" applyFont="1" applyFill="1" applyBorder="1" applyAlignment="1">
      <alignment wrapText="1"/>
    </xf>
    <xf numFmtId="0" fontId="27" fillId="25" borderId="45" xfId="0" applyFont="1" applyFill="1" applyBorder="1" applyAlignment="1">
      <alignment wrapText="1"/>
    </xf>
    <xf numFmtId="0" fontId="27" fillId="25" borderId="3" xfId="0" applyFont="1" applyFill="1" applyBorder="1" applyAlignment="1">
      <alignment wrapText="1"/>
    </xf>
    <xf numFmtId="0" fontId="27" fillId="25" borderId="7" xfId="0" applyFont="1" applyFill="1" applyBorder="1" applyAlignment="1">
      <alignment wrapText="1"/>
    </xf>
    <xf numFmtId="171" fontId="0" fillId="3" borderId="1" xfId="0" applyNumberFormat="1" applyFill="1" applyBorder="1"/>
    <xf numFmtId="43" fontId="0" fillId="0" borderId="0" xfId="0" applyNumberFormat="1" applyAlignment="1">
      <alignment horizontal="right"/>
    </xf>
    <xf numFmtId="0" fontId="27" fillId="23" borderId="0" xfId="0" applyFont="1" applyFill="1"/>
    <xf numFmtId="0" fontId="26" fillId="24" borderId="1" xfId="0" applyFont="1" applyFill="1" applyBorder="1"/>
    <xf numFmtId="0" fontId="26" fillId="24" borderId="53" xfId="0" applyFont="1" applyFill="1" applyBorder="1"/>
    <xf numFmtId="0" fontId="29" fillId="22" borderId="41" xfId="0" applyFont="1" applyFill="1" applyBorder="1"/>
    <xf numFmtId="0" fontId="26" fillId="0" borderId="5" xfId="0" applyFont="1" applyBorder="1"/>
    <xf numFmtId="0" fontId="26" fillId="25" borderId="5" xfId="0" applyFont="1" applyFill="1" applyBorder="1"/>
    <xf numFmtId="0" fontId="26" fillId="24" borderId="7" xfId="0" applyFont="1" applyFill="1" applyBorder="1"/>
    <xf numFmtId="0" fontId="26" fillId="25" borderId="1" xfId="0" applyFont="1" applyFill="1" applyBorder="1"/>
    <xf numFmtId="9" fontId="26" fillId="25" borderId="1" xfId="0" applyNumberFormat="1" applyFont="1" applyFill="1" applyBorder="1"/>
    <xf numFmtId="0" fontId="26" fillId="24" borderId="8" xfId="0" applyFont="1" applyFill="1" applyBorder="1"/>
    <xf numFmtId="0" fontId="26" fillId="25" borderId="8" xfId="0" applyFont="1" applyFill="1" applyBorder="1"/>
    <xf numFmtId="9" fontId="26" fillId="25" borderId="8" xfId="0" applyNumberFormat="1" applyFont="1" applyFill="1" applyBorder="1"/>
    <xf numFmtId="9" fontId="26" fillId="24" borderId="8" xfId="0" applyNumberFormat="1" applyFont="1" applyFill="1" applyBorder="1"/>
    <xf numFmtId="0" fontId="26" fillId="25" borderId="7" xfId="0" applyFont="1" applyFill="1" applyBorder="1"/>
    <xf numFmtId="9" fontId="26" fillId="25" borderId="7" xfId="0" applyNumberFormat="1" applyFont="1" applyFill="1" applyBorder="1"/>
    <xf numFmtId="10" fontId="26" fillId="24" borderId="7" xfId="0" applyNumberFormat="1" applyFont="1" applyFill="1" applyBorder="1"/>
    <xf numFmtId="0" fontId="26" fillId="24" borderId="5" xfId="0" applyFont="1" applyFill="1" applyBorder="1"/>
    <xf numFmtId="9" fontId="26" fillId="25" borderId="5" xfId="0" applyNumberFormat="1" applyFont="1" applyFill="1" applyBorder="1"/>
    <xf numFmtId="9" fontId="26" fillId="24" borderId="7" xfId="0" applyNumberFormat="1" applyFont="1" applyFill="1" applyBorder="1"/>
    <xf numFmtId="0" fontId="26" fillId="0" borderId="3" xfId="0" applyFont="1" applyBorder="1"/>
    <xf numFmtId="0" fontId="29" fillId="22" borderId="1" xfId="0" applyFont="1" applyFill="1" applyBorder="1"/>
    <xf numFmtId="0" fontId="29" fillId="22" borderId="7" xfId="0" applyFont="1" applyFill="1" applyBorder="1"/>
    <xf numFmtId="0" fontId="29" fillId="22" borderId="5" xfId="0" applyFont="1" applyFill="1" applyBorder="1"/>
    <xf numFmtId="172" fontId="0" fillId="3" borderId="1" xfId="0" applyNumberFormat="1" applyFill="1" applyBorder="1"/>
    <xf numFmtId="0" fontId="28" fillId="0" borderId="0" xfId="0" applyFont="1"/>
    <xf numFmtId="0" fontId="25" fillId="0" borderId="0" xfId="0" applyFont="1"/>
    <xf numFmtId="0" fontId="0" fillId="0" borderId="0" xfId="0" applyAlignment="1">
      <alignment horizontal="right" vertical="top"/>
    </xf>
    <xf numFmtId="0" fontId="18" fillId="0" borderId="0" xfId="0" applyFont="1"/>
    <xf numFmtId="0" fontId="32" fillId="0" borderId="0" xfId="0" applyFont="1"/>
    <xf numFmtId="0" fontId="30" fillId="0" borderId="0" xfId="0" applyFont="1" applyAlignment="1">
      <alignment wrapText="1"/>
    </xf>
    <xf numFmtId="0" fontId="31" fillId="0" borderId="0" xfId="0" applyFont="1" applyAlignment="1">
      <alignment wrapText="1"/>
    </xf>
    <xf numFmtId="0" fontId="8" fillId="0" borderId="17" xfId="0" applyFont="1" applyBorder="1"/>
    <xf numFmtId="0" fontId="8" fillId="0" borderId="43" xfId="0" applyFont="1" applyBorder="1" applyAlignment="1">
      <alignment wrapText="1"/>
    </xf>
    <xf numFmtId="0" fontId="8" fillId="0" borderId="44" xfId="0" applyFont="1" applyBorder="1"/>
    <xf numFmtId="0" fontId="8" fillId="0" borderId="6" xfId="0" applyFont="1" applyBorder="1"/>
    <xf numFmtId="0" fontId="8" fillId="0" borderId="0" xfId="0" applyFont="1" applyAlignment="1">
      <alignment wrapText="1"/>
    </xf>
    <xf numFmtId="0" fontId="8" fillId="0" borderId="45" xfId="0" applyFont="1" applyBorder="1"/>
    <xf numFmtId="0" fontId="8" fillId="0" borderId="18" xfId="0" applyFont="1" applyBorder="1"/>
    <xf numFmtId="0" fontId="8" fillId="0" borderId="2" xfId="0" applyFont="1" applyBorder="1"/>
    <xf numFmtId="0" fontId="8" fillId="0" borderId="7" xfId="0" applyFont="1" applyBorder="1"/>
    <xf numFmtId="0" fontId="8" fillId="0" borderId="2" xfId="0" applyFont="1" applyBorder="1" applyAlignment="1">
      <alignment wrapText="1"/>
    </xf>
    <xf numFmtId="0" fontId="33" fillId="0" borderId="0" xfId="0" applyFont="1"/>
    <xf numFmtId="0" fontId="33" fillId="0" borderId="0" xfId="0" applyFont="1" applyAlignment="1">
      <alignment wrapText="1"/>
    </xf>
    <xf numFmtId="0" fontId="2" fillId="0" borderId="41" xfId="0" applyFont="1" applyBorder="1"/>
    <xf numFmtId="0" fontId="2" fillId="0" borderId="8" xfId="0" applyFont="1" applyBorder="1"/>
    <xf numFmtId="0" fontId="27" fillId="25" borderId="8" xfId="0" applyFont="1" applyFill="1" applyBorder="1"/>
    <xf numFmtId="0" fontId="0" fillId="0" borderId="7" xfId="0" applyBorder="1"/>
    <xf numFmtId="0" fontId="8" fillId="0" borderId="17" xfId="0" applyFont="1" applyBorder="1" applyAlignment="1">
      <alignment wrapText="1"/>
    </xf>
    <xf numFmtId="0" fontId="8" fillId="0" borderId="44" xfId="0" applyFont="1" applyBorder="1" applyAlignment="1">
      <alignment wrapText="1"/>
    </xf>
    <xf numFmtId="0" fontId="8" fillId="0" borderId="6" xfId="0" applyFont="1" applyBorder="1" applyAlignment="1">
      <alignment wrapText="1"/>
    </xf>
    <xf numFmtId="0" fontId="8" fillId="0" borderId="45" xfId="0" applyFont="1" applyBorder="1" applyAlignment="1">
      <alignment wrapText="1"/>
    </xf>
    <xf numFmtId="0" fontId="8" fillId="0" borderId="18" xfId="0" applyFont="1" applyBorder="1" applyAlignment="1">
      <alignment wrapText="1"/>
    </xf>
    <xf numFmtId="0" fontId="8" fillId="0" borderId="7" xfId="0" applyFont="1" applyBorder="1" applyAlignment="1">
      <alignment wrapText="1"/>
    </xf>
    <xf numFmtId="170" fontId="0" fillId="3" borderId="1" xfId="0" applyNumberFormat="1" applyFill="1" applyBorder="1"/>
    <xf numFmtId="2" fontId="0" fillId="20" borderId="1" xfId="0" applyNumberFormat="1" applyFill="1" applyBorder="1"/>
    <xf numFmtId="43" fontId="0" fillId="20" borderId="1" xfId="1" applyFont="1" applyFill="1" applyBorder="1"/>
    <xf numFmtId="172" fontId="0" fillId="20" borderId="1" xfId="0" applyNumberFormat="1" applyFill="1" applyBorder="1"/>
    <xf numFmtId="0" fontId="0" fillId="5" borderId="42" xfId="0" applyFill="1" applyBorder="1"/>
    <xf numFmtId="166" fontId="0" fillId="12" borderId="19" xfId="1" applyNumberFormat="1" applyFont="1" applyFill="1" applyBorder="1" applyAlignment="1">
      <alignment horizontal="center"/>
    </xf>
    <xf numFmtId="166" fontId="0" fillId="0" borderId="15" xfId="1" applyNumberFormat="1" applyFont="1" applyFill="1" applyBorder="1" applyAlignment="1">
      <alignment horizontal="center"/>
    </xf>
    <xf numFmtId="166" fontId="0" fillId="0" borderId="14" xfId="1" applyNumberFormat="1" applyFont="1" applyFill="1" applyBorder="1"/>
    <xf numFmtId="166" fontId="0" fillId="0" borderId="19" xfId="1" applyNumberFormat="1" applyFont="1" applyFill="1" applyBorder="1"/>
    <xf numFmtId="166" fontId="0" fillId="0" borderId="55" xfId="1" applyNumberFormat="1" applyFont="1" applyFill="1" applyBorder="1"/>
    <xf numFmtId="166" fontId="0" fillId="0" borderId="14" xfId="1" applyNumberFormat="1" applyFont="1" applyFill="1" applyBorder="1" applyAlignment="1">
      <alignment horizontal="center"/>
    </xf>
    <xf numFmtId="166" fontId="0" fillId="0" borderId="19" xfId="1" applyNumberFormat="1" applyFont="1" applyFill="1" applyBorder="1" applyAlignment="1">
      <alignment horizontal="center"/>
    </xf>
    <xf numFmtId="166" fontId="0" fillId="0" borderId="16" xfId="1" applyNumberFormat="1" applyFont="1" applyFill="1" applyBorder="1"/>
    <xf numFmtId="43" fontId="0" fillId="0" borderId="14" xfId="1" applyFont="1" applyFill="1" applyBorder="1"/>
    <xf numFmtId="43" fontId="0" fillId="12" borderId="16" xfId="1" applyFont="1" applyFill="1" applyBorder="1"/>
    <xf numFmtId="0" fontId="0" fillId="4" borderId="0" xfId="0" applyFill="1" applyAlignment="1">
      <alignment vertical="top" wrapText="1"/>
    </xf>
    <xf numFmtId="0" fontId="0" fillId="26" borderId="0" xfId="0" applyFill="1"/>
    <xf numFmtId="0" fontId="2" fillId="0" borderId="1" xfId="0" applyFont="1" applyBorder="1" applyAlignment="1">
      <alignment vertical="center" wrapText="1"/>
    </xf>
    <xf numFmtId="0" fontId="0" fillId="26" borderId="1" xfId="0" applyFill="1" applyBorder="1"/>
    <xf numFmtId="0" fontId="12" fillId="13" borderId="1" xfId="0" applyFont="1" applyFill="1" applyBorder="1" applyAlignment="1">
      <alignment horizontal="center" wrapText="1"/>
    </xf>
    <xf numFmtId="0" fontId="0" fillId="0" borderId="1" xfId="0" applyBorder="1" applyAlignment="1">
      <alignment horizontal="center" vertical="center" wrapText="1"/>
    </xf>
    <xf numFmtId="0" fontId="0" fillId="4" borderId="0" xfId="0" applyFill="1" applyAlignment="1">
      <alignment horizontal="left" vertical="top" wrapText="1"/>
    </xf>
    <xf numFmtId="0" fontId="37" fillId="4" borderId="0" xfId="0" applyFont="1" applyFill="1" applyAlignment="1">
      <alignment horizontal="left" vertical="top" wrapText="1"/>
    </xf>
    <xf numFmtId="0" fontId="38" fillId="4" borderId="0" xfId="0" applyFont="1" applyFill="1" applyAlignment="1">
      <alignment horizontal="left" vertical="top" wrapText="1"/>
    </xf>
    <xf numFmtId="0" fontId="25" fillId="0" borderId="1" xfId="0" quotePrefix="1" applyFont="1" applyBorder="1" applyAlignment="1">
      <alignment vertical="center" wrapText="1"/>
    </xf>
    <xf numFmtId="0" fontId="36" fillId="4" borderId="0" xfId="0" applyFont="1" applyFill="1" applyAlignment="1">
      <alignment horizontal="center" vertical="center" wrapText="1"/>
    </xf>
    <xf numFmtId="0" fontId="35" fillId="4" borderId="0" xfId="0" quotePrefix="1" applyFont="1" applyFill="1" applyAlignment="1">
      <alignment vertical="center" wrapText="1"/>
    </xf>
    <xf numFmtId="0" fontId="0" fillId="26" borderId="0" xfId="0" applyFill="1" applyAlignment="1">
      <alignment vertical="top" wrapText="1"/>
    </xf>
    <xf numFmtId="0" fontId="0" fillId="26" borderId="5" xfId="0" applyFill="1" applyBorder="1"/>
    <xf numFmtId="0" fontId="49" fillId="4" borderId="0" xfId="0" applyFont="1" applyFill="1"/>
    <xf numFmtId="0" fontId="0" fillId="0" borderId="17" xfId="0"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6" xfId="0" applyBorder="1" applyProtection="1">
      <protection locked="0"/>
    </xf>
    <xf numFmtId="0" fontId="0" fillId="0" borderId="0" xfId="0" applyProtection="1">
      <protection locked="0"/>
    </xf>
    <xf numFmtId="0" fontId="0" fillId="0" borderId="45" xfId="0" applyBorder="1" applyProtection="1">
      <protection locked="0"/>
    </xf>
    <xf numFmtId="0" fontId="0" fillId="0" borderId="18" xfId="0" applyBorder="1" applyProtection="1">
      <protection locked="0"/>
    </xf>
    <xf numFmtId="0" fontId="0" fillId="0" borderId="2" xfId="0" applyBorder="1" applyProtection="1">
      <protection locked="0"/>
    </xf>
    <xf numFmtId="0" fontId="0" fillId="0" borderId="7" xfId="0" applyBorder="1" applyProtection="1">
      <protection locked="0"/>
    </xf>
    <xf numFmtId="0" fontId="8" fillId="2" borderId="0" xfId="0" applyFont="1" applyFill="1"/>
    <xf numFmtId="0" fontId="28" fillId="2" borderId="0" xfId="0" applyFont="1" applyFill="1"/>
    <xf numFmtId="0" fontId="8" fillId="2" borderId="43" xfId="0" applyFont="1" applyFill="1" applyBorder="1"/>
    <xf numFmtId="10" fontId="8" fillId="2" borderId="0" xfId="0" applyNumberFormat="1" applyFont="1" applyFill="1"/>
    <xf numFmtId="9" fontId="8" fillId="2" borderId="0" xfId="0" applyNumberFormat="1" applyFont="1" applyFill="1"/>
    <xf numFmtId="0" fontId="8" fillId="2" borderId="2" xfId="0" applyFont="1" applyFill="1" applyBorder="1"/>
    <xf numFmtId="169" fontId="0" fillId="6" borderId="2" xfId="2" applyNumberFormat="1" applyFont="1" applyFill="1" applyBorder="1"/>
    <xf numFmtId="166" fontId="8" fillId="2" borderId="0" xfId="0" applyNumberFormat="1" applyFont="1" applyFill="1"/>
    <xf numFmtId="4" fontId="8" fillId="2" borderId="2" xfId="0" applyNumberFormat="1" applyFont="1" applyFill="1" applyBorder="1"/>
    <xf numFmtId="0" fontId="8" fillId="2" borderId="0" xfId="0" applyFont="1" applyFill="1" applyAlignment="1">
      <alignment wrapText="1"/>
    </xf>
    <xf numFmtId="0" fontId="8" fillId="2" borderId="43" xfId="0" applyFont="1" applyFill="1" applyBorder="1" applyAlignment="1">
      <alignment wrapText="1"/>
    </xf>
    <xf numFmtId="10" fontId="8" fillId="2" borderId="0" xfId="0" applyNumberFormat="1" applyFont="1" applyFill="1" applyAlignment="1">
      <alignment wrapText="1"/>
    </xf>
    <xf numFmtId="9" fontId="8" fillId="2" borderId="0" xfId="0" applyNumberFormat="1" applyFont="1" applyFill="1" applyAlignment="1">
      <alignment wrapText="1"/>
    </xf>
    <xf numFmtId="0" fontId="8" fillId="29" borderId="0" xfId="0" applyFont="1" applyFill="1" applyAlignment="1">
      <alignment wrapText="1"/>
    </xf>
    <xf numFmtId="169" fontId="0" fillId="4" borderId="0" xfId="2" applyNumberFormat="1" applyFont="1" applyFill="1"/>
    <xf numFmtId="0" fontId="0" fillId="4" borderId="0" xfId="0" applyFill="1" applyAlignment="1">
      <alignment wrapText="1"/>
    </xf>
    <xf numFmtId="43" fontId="0" fillId="4" borderId="0" xfId="1" applyFont="1" applyFill="1" applyBorder="1"/>
    <xf numFmtId="0" fontId="0" fillId="4" borderId="57" xfId="0" applyFill="1" applyBorder="1"/>
    <xf numFmtId="0" fontId="0" fillId="4" borderId="57" xfId="0" applyFill="1" applyBorder="1" applyAlignment="1">
      <alignment wrapText="1"/>
    </xf>
    <xf numFmtId="0" fontId="0" fillId="31" borderId="56" xfId="0" applyFill="1" applyBorder="1" applyAlignment="1">
      <alignment wrapText="1"/>
    </xf>
    <xf numFmtId="174" fontId="0" fillId="2" borderId="1" xfId="1" applyNumberFormat="1" applyFont="1" applyFill="1" applyBorder="1"/>
    <xf numFmtId="0" fontId="0" fillId="4" borderId="2" xfId="0" applyFill="1" applyBorder="1" applyAlignment="1">
      <alignment wrapText="1"/>
    </xf>
    <xf numFmtId="0" fontId="0" fillId="4" borderId="58" xfId="0" applyFill="1" applyBorder="1"/>
    <xf numFmtId="0" fontId="2" fillId="4" borderId="0" xfId="0" applyFont="1" applyFill="1" applyAlignment="1">
      <alignment wrapText="1"/>
    </xf>
    <xf numFmtId="9" fontId="0" fillId="4" borderId="0" xfId="2" applyFont="1" applyFill="1" applyBorder="1"/>
    <xf numFmtId="166" fontId="0" fillId="4" borderId="0" xfId="1" applyNumberFormat="1" applyFont="1" applyFill="1"/>
    <xf numFmtId="0" fontId="2" fillId="4" borderId="0" xfId="0" applyFont="1" applyFill="1" applyAlignment="1">
      <alignment horizontal="center" vertical="center" wrapText="1"/>
    </xf>
    <xf numFmtId="0" fontId="0" fillId="4" borderId="0" xfId="1" applyNumberFormat="1" applyFont="1" applyFill="1" applyBorder="1" applyAlignment="1">
      <alignment horizontal="center" vertical="center"/>
    </xf>
    <xf numFmtId="43" fontId="2" fillId="4" borderId="0" xfId="0" applyNumberFormat="1" applyFont="1" applyFill="1"/>
    <xf numFmtId="43" fontId="0" fillId="4" borderId="0" xfId="0" applyNumberFormat="1" applyFill="1"/>
    <xf numFmtId="0" fontId="0" fillId="4" borderId="59" xfId="0" applyFill="1" applyBorder="1" applyAlignment="1">
      <alignment wrapText="1"/>
    </xf>
    <xf numFmtId="166" fontId="0" fillId="4" borderId="59" xfId="0" applyNumberFormat="1" applyFill="1" applyBorder="1" applyAlignment="1">
      <alignment horizontal="center" vertical="center" wrapText="1"/>
    </xf>
    <xf numFmtId="43" fontId="0" fillId="4" borderId="59" xfId="1" applyFont="1" applyFill="1" applyBorder="1" applyAlignment="1">
      <alignment horizontal="left"/>
    </xf>
    <xf numFmtId="166" fontId="0" fillId="4" borderId="59" xfId="1" applyNumberFormat="1" applyFont="1" applyFill="1" applyBorder="1"/>
    <xf numFmtId="166" fontId="0" fillId="4" borderId="58" xfId="1" applyNumberFormat="1" applyFont="1" applyFill="1" applyBorder="1"/>
    <xf numFmtId="9" fontId="0" fillId="14" borderId="59" xfId="2" applyFont="1" applyFill="1" applyBorder="1"/>
    <xf numFmtId="0" fontId="0" fillId="4" borderId="0" xfId="0" applyFill="1" applyAlignment="1">
      <alignment horizontal="left"/>
    </xf>
    <xf numFmtId="43" fontId="0" fillId="6" borderId="2" xfId="1" applyFont="1" applyFill="1" applyBorder="1"/>
    <xf numFmtId="0" fontId="0" fillId="4" borderId="59" xfId="0" applyFill="1" applyBorder="1" applyAlignment="1">
      <alignment horizontal="left" vertical="center" wrapText="1"/>
    </xf>
    <xf numFmtId="0" fontId="0" fillId="4" borderId="0" xfId="0" applyFill="1" applyAlignment="1">
      <alignment vertical="center"/>
    </xf>
    <xf numFmtId="0" fontId="0" fillId="0" borderId="0" xfId="0" applyAlignment="1">
      <alignment vertical="center"/>
    </xf>
    <xf numFmtId="0" fontId="51" fillId="4" borderId="0" xfId="0" applyFont="1" applyFill="1"/>
    <xf numFmtId="0" fontId="0" fillId="0" borderId="70" xfId="7" applyFont="1" applyBorder="1">
      <alignment wrapText="1"/>
    </xf>
    <xf numFmtId="0" fontId="0" fillId="0" borderId="72" xfId="7" applyFont="1" applyBorder="1">
      <alignment wrapText="1"/>
    </xf>
    <xf numFmtId="171" fontId="0" fillId="0" borderId="0" xfId="0" applyNumberFormat="1"/>
    <xf numFmtId="43" fontId="1" fillId="4" borderId="0" xfId="1" applyFont="1" applyFill="1" applyBorder="1"/>
    <xf numFmtId="0" fontId="0" fillId="4" borderId="0" xfId="0" applyFill="1" applyAlignment="1">
      <alignment vertical="center" wrapText="1"/>
    </xf>
    <xf numFmtId="0" fontId="0" fillId="34" borderId="0" xfId="0" applyFill="1"/>
    <xf numFmtId="0" fontId="51" fillId="34" borderId="0" xfId="0" applyFont="1" applyFill="1"/>
    <xf numFmtId="0" fontId="0" fillId="34" borderId="0" xfId="0" applyFill="1" applyAlignment="1">
      <alignment vertical="top" wrapText="1"/>
    </xf>
    <xf numFmtId="0" fontId="0" fillId="34" borderId="0" xfId="0" applyFill="1" applyAlignment="1">
      <alignment horizontal="left" vertical="top" wrapText="1"/>
    </xf>
    <xf numFmtId="0" fontId="0" fillId="34" borderId="0" xfId="7" applyFont="1" applyFill="1" applyBorder="1">
      <alignment wrapText="1"/>
    </xf>
    <xf numFmtId="168" fontId="0" fillId="34" borderId="0" xfId="1" applyNumberFormat="1" applyFont="1" applyFill="1" applyBorder="1" applyAlignment="1">
      <alignment horizontal="right" vertical="center" wrapText="1"/>
    </xf>
    <xf numFmtId="0" fontId="0" fillId="34" borderId="1" xfId="0" applyFill="1" applyBorder="1"/>
    <xf numFmtId="175" fontId="0" fillId="34" borderId="1" xfId="0" applyNumberFormat="1" applyFill="1" applyBorder="1"/>
    <xf numFmtId="1" fontId="0" fillId="34" borderId="1" xfId="0" applyNumberFormat="1" applyFill="1" applyBorder="1"/>
    <xf numFmtId="0" fontId="0" fillId="34" borderId="0" xfId="0" applyFill="1" applyAlignment="1">
      <alignment horizontal="left"/>
    </xf>
    <xf numFmtId="0" fontId="0" fillId="34" borderId="0" xfId="0" applyFill="1" applyAlignment="1">
      <alignment vertical="center"/>
    </xf>
    <xf numFmtId="0" fontId="51" fillId="13" borderId="21" xfId="0" applyFont="1" applyFill="1" applyBorder="1"/>
    <xf numFmtId="0" fontId="0" fillId="12" borderId="21" xfId="0" applyFill="1" applyBorder="1" applyAlignment="1">
      <alignment horizontal="left" vertical="top" wrapText="1"/>
    </xf>
    <xf numFmtId="0" fontId="0" fillId="2" borderId="21" xfId="0" applyFill="1" applyBorder="1" applyAlignment="1">
      <alignment horizontal="left" vertical="top" wrapText="1"/>
    </xf>
    <xf numFmtId="0" fontId="0" fillId="16" borderId="1" xfId="0" applyFill="1" applyBorder="1" applyAlignment="1">
      <alignment vertical="top" wrapText="1"/>
    </xf>
    <xf numFmtId="168" fontId="0" fillId="4" borderId="59" xfId="1" applyNumberFormat="1" applyFont="1" applyFill="1" applyBorder="1" applyAlignment="1">
      <alignment horizontal="right" vertical="center" wrapText="1"/>
    </xf>
    <xf numFmtId="168" fontId="0" fillId="4" borderId="71" xfId="1" applyNumberFormat="1" applyFont="1" applyFill="1" applyBorder="1" applyAlignment="1">
      <alignment horizontal="right" vertical="center" wrapText="1"/>
    </xf>
    <xf numFmtId="168" fontId="0" fillId="4" borderId="73" xfId="1" applyNumberFormat="1" applyFont="1" applyFill="1" applyBorder="1" applyAlignment="1">
      <alignment horizontal="right" vertical="center" wrapText="1"/>
    </xf>
    <xf numFmtId="168" fontId="0" fillId="4" borderId="74" xfId="1" applyNumberFormat="1" applyFont="1" applyFill="1" applyBorder="1" applyAlignment="1">
      <alignment horizontal="right" vertical="center" wrapText="1"/>
    </xf>
    <xf numFmtId="0" fontId="53" fillId="4" borderId="45" xfId="7" quotePrefix="1" applyFont="1" applyFill="1" applyBorder="1" applyAlignment="1"/>
    <xf numFmtId="0" fontId="17" fillId="0" borderId="1" xfId="0" applyFont="1" applyBorder="1" applyProtection="1">
      <protection hidden="1"/>
    </xf>
    <xf numFmtId="0" fontId="17" fillId="4" borderId="17" xfId="0" applyFont="1" applyFill="1" applyBorder="1" applyAlignment="1" applyProtection="1">
      <alignment wrapText="1"/>
      <protection hidden="1"/>
    </xf>
    <xf numFmtId="0" fontId="8" fillId="0" borderId="103" xfId="0" applyFont="1" applyBorder="1" applyAlignment="1">
      <alignment horizontal="left"/>
    </xf>
    <xf numFmtId="166" fontId="19" fillId="18" borderId="4" xfId="1" applyNumberFormat="1" applyFont="1" applyFill="1" applyBorder="1" applyAlignment="1" applyProtection="1">
      <alignment horizontal="left"/>
      <protection locked="0" hidden="1"/>
    </xf>
    <xf numFmtId="0" fontId="15" fillId="17" borderId="1" xfId="0" applyFont="1" applyFill="1" applyBorder="1" applyAlignment="1" applyProtection="1">
      <alignment horizontal="left" shrinkToFit="1"/>
      <protection hidden="1"/>
    </xf>
    <xf numFmtId="0" fontId="17" fillId="0" borderId="1" xfId="0" applyFont="1" applyBorder="1" applyAlignment="1" applyProtection="1">
      <alignment horizontal="left"/>
      <protection hidden="1"/>
    </xf>
    <xf numFmtId="0" fontId="0" fillId="0" borderId="103" xfId="0" applyBorder="1" applyAlignment="1">
      <alignment horizontal="left"/>
    </xf>
    <xf numFmtId="0" fontId="0" fillId="0" borderId="96" xfId="0" applyBorder="1" applyAlignment="1">
      <alignment horizontal="left"/>
    </xf>
    <xf numFmtId="0" fontId="62" fillId="4" borderId="1" xfId="0" applyFont="1" applyFill="1" applyBorder="1" applyAlignment="1">
      <alignment vertical="center" wrapText="1"/>
    </xf>
    <xf numFmtId="0" fontId="55" fillId="4" borderId="4" xfId="0" applyFont="1" applyFill="1" applyBorder="1" applyAlignment="1">
      <alignment horizontal="right" vertical="center" wrapText="1" indent="1"/>
    </xf>
    <xf numFmtId="0" fontId="55" fillId="4" borderId="41" xfId="0" applyFont="1" applyFill="1" applyBorder="1" applyAlignment="1">
      <alignment vertical="center" wrapText="1"/>
    </xf>
    <xf numFmtId="0" fontId="55" fillId="4" borderId="41" xfId="0" applyFont="1" applyFill="1" applyBorder="1" applyAlignment="1">
      <alignment horizontal="right" vertical="center" wrapText="1" indent="1"/>
    </xf>
    <xf numFmtId="0" fontId="55" fillId="4" borderId="8" xfId="0" applyFont="1" applyFill="1" applyBorder="1" applyAlignment="1">
      <alignment vertical="center" wrapText="1"/>
    </xf>
    <xf numFmtId="0" fontId="56" fillId="4" borderId="4" xfId="0" applyFont="1" applyFill="1" applyBorder="1" applyAlignment="1">
      <alignment horizontal="right" vertical="center" wrapText="1"/>
    </xf>
    <xf numFmtId="0" fontId="59" fillId="4" borderId="41" xfId="0" applyFont="1" applyFill="1" applyBorder="1" applyAlignment="1">
      <alignment vertical="center" wrapText="1"/>
    </xf>
    <xf numFmtId="0" fontId="60" fillId="4" borderId="41" xfId="0" applyFont="1" applyFill="1" applyBorder="1" applyAlignment="1">
      <alignment horizontal="right" vertical="center" wrapText="1"/>
    </xf>
    <xf numFmtId="0" fontId="59" fillId="4" borderId="8" xfId="0" applyFont="1" applyFill="1" applyBorder="1" applyAlignment="1">
      <alignment vertical="center" wrapText="1"/>
    </xf>
    <xf numFmtId="0" fontId="0" fillId="12" borderId="94" xfId="0" applyFill="1" applyBorder="1" applyAlignment="1" applyProtection="1">
      <alignment horizontal="center" wrapText="1"/>
      <protection locked="0"/>
    </xf>
    <xf numFmtId="0" fontId="0" fillId="12" borderId="121" xfId="0" applyFill="1" applyBorder="1" applyAlignment="1" applyProtection="1">
      <alignment horizontal="center" wrapText="1"/>
      <protection locked="0"/>
    </xf>
    <xf numFmtId="0" fontId="0" fillId="9" borderId="0" xfId="0" applyFill="1" applyAlignment="1">
      <alignment horizontal="left" vertical="top" wrapText="1"/>
    </xf>
    <xf numFmtId="0" fontId="2" fillId="4" borderId="17" xfId="0" applyFont="1" applyFill="1" applyBorder="1"/>
    <xf numFmtId="0" fontId="0" fillId="4" borderId="0" xfId="0" applyFill="1" applyAlignment="1">
      <alignment horizontal="left" vertical="top"/>
    </xf>
    <xf numFmtId="0" fontId="0" fillId="4" borderId="1" xfId="0" applyFill="1" applyBorder="1" applyAlignment="1">
      <alignment horizontal="left" vertical="top"/>
    </xf>
    <xf numFmtId="0" fontId="10" fillId="4" borderId="0" xfId="0" applyFont="1" applyFill="1" applyAlignment="1">
      <alignment horizontal="left" vertical="top"/>
    </xf>
    <xf numFmtId="0" fontId="10" fillId="4" borderId="0" xfId="0" applyFont="1" applyFill="1" applyAlignment="1">
      <alignment horizontal="left" vertical="top" wrapText="1"/>
    </xf>
    <xf numFmtId="0" fontId="0" fillId="0" borderId="0" xfId="0" applyAlignment="1">
      <alignment horizontal="left" vertical="top"/>
    </xf>
    <xf numFmtId="0" fontId="66" fillId="35" borderId="5" xfId="0" applyFont="1" applyFill="1" applyBorder="1" applyAlignment="1">
      <alignment vertical="center" wrapText="1"/>
    </xf>
    <xf numFmtId="0" fontId="47" fillId="35" borderId="1" xfId="0" applyFont="1" applyFill="1" applyBorder="1" applyAlignment="1">
      <alignment vertical="center" wrapText="1"/>
    </xf>
    <xf numFmtId="0" fontId="47" fillId="35" borderId="41" xfId="0" applyFont="1" applyFill="1" applyBorder="1" applyAlignment="1">
      <alignment vertical="center" wrapText="1"/>
    </xf>
    <xf numFmtId="0" fontId="47" fillId="35" borderId="0" xfId="0" applyFont="1" applyFill="1" applyAlignment="1">
      <alignment vertical="center" wrapText="1"/>
    </xf>
    <xf numFmtId="0" fontId="47" fillId="35" borderId="5" xfId="0" applyFont="1" applyFill="1" applyBorder="1" applyAlignment="1">
      <alignment vertical="center" wrapText="1"/>
    </xf>
    <xf numFmtId="0" fontId="47" fillId="15" borderId="41" xfId="0" applyFont="1" applyFill="1" applyBorder="1" applyAlignment="1">
      <alignment vertical="center" wrapText="1"/>
    </xf>
    <xf numFmtId="0" fontId="47" fillId="15" borderId="1" xfId="0" applyFont="1" applyFill="1" applyBorder="1" applyAlignment="1">
      <alignment vertical="center" wrapText="1"/>
    </xf>
    <xf numFmtId="0" fontId="66" fillId="15" borderId="5" xfId="0" applyFont="1" applyFill="1" applyBorder="1" applyAlignment="1">
      <alignment vertical="center" wrapText="1"/>
    </xf>
    <xf numFmtId="0" fontId="47" fillId="8" borderId="1" xfId="0" applyFont="1" applyFill="1" applyBorder="1" applyAlignment="1">
      <alignment vertical="center" wrapText="1"/>
    </xf>
    <xf numFmtId="0" fontId="66" fillId="8" borderId="5" xfId="0" applyFont="1" applyFill="1" applyBorder="1" applyAlignment="1">
      <alignment vertical="center" wrapText="1"/>
    </xf>
    <xf numFmtId="0" fontId="45" fillId="37" borderId="0" xfId="0" applyFont="1" applyFill="1"/>
    <xf numFmtId="0" fontId="0" fillId="11" borderId="1" xfId="0" applyFill="1" applyBorder="1"/>
    <xf numFmtId="0" fontId="50" fillId="34" borderId="122" xfId="0" applyFont="1" applyFill="1" applyBorder="1" applyAlignment="1" applyProtection="1">
      <alignment horizontal="center" wrapText="1"/>
      <protection locked="0"/>
    </xf>
    <xf numFmtId="0" fontId="50" fillId="34" borderId="93" xfId="0" applyFont="1" applyFill="1" applyBorder="1" applyAlignment="1" applyProtection="1">
      <alignment horizontal="center" wrapText="1"/>
      <protection locked="0"/>
    </xf>
    <xf numFmtId="0" fontId="50" fillId="34" borderId="120" xfId="0" applyFont="1" applyFill="1" applyBorder="1" applyAlignment="1" applyProtection="1">
      <alignment horizontal="center" wrapText="1"/>
      <protection locked="0"/>
    </xf>
    <xf numFmtId="0" fontId="50" fillId="34" borderId="101" xfId="0" applyFont="1" applyFill="1" applyBorder="1" applyAlignment="1" applyProtection="1">
      <alignment horizontal="center" wrapText="1"/>
      <protection locked="0"/>
    </xf>
    <xf numFmtId="0" fontId="25" fillId="0" borderId="1" xfId="0" quotePrefix="1" applyFont="1" applyBorder="1" applyAlignment="1">
      <alignment vertical="center"/>
    </xf>
    <xf numFmtId="0" fontId="55" fillId="4" borderId="1" xfId="0" applyFont="1" applyFill="1" applyBorder="1" applyAlignment="1" applyProtection="1">
      <alignment vertical="center" wrapText="1"/>
      <protection locked="0"/>
    </xf>
    <xf numFmtId="166" fontId="0" fillId="12" borderId="94" xfId="1" applyNumberFormat="1" applyFont="1" applyFill="1" applyBorder="1" applyAlignment="1" applyProtection="1">
      <protection locked="0"/>
    </xf>
    <xf numFmtId="166" fontId="0" fillId="12" borderId="93" xfId="1" applyNumberFormat="1" applyFont="1" applyFill="1" applyBorder="1" applyAlignment="1" applyProtection="1">
      <protection locked="0"/>
    </xf>
    <xf numFmtId="166" fontId="0" fillId="12" borderId="101" xfId="1" applyNumberFormat="1" applyFont="1" applyFill="1" applyBorder="1" applyAlignment="1" applyProtection="1">
      <protection locked="0"/>
    </xf>
    <xf numFmtId="1" fontId="0" fillId="34" borderId="0" xfId="0" applyNumberFormat="1" applyFill="1"/>
    <xf numFmtId="0" fontId="0" fillId="0" borderId="70" xfId="7" applyFont="1" applyBorder="1" applyAlignment="1">
      <alignment horizontal="left" wrapText="1"/>
    </xf>
    <xf numFmtId="168" fontId="0" fillId="4" borderId="0" xfId="0" applyNumberFormat="1" applyFill="1"/>
    <xf numFmtId="44" fontId="0" fillId="6" borderId="2" xfId="5" applyFont="1" applyFill="1" applyBorder="1"/>
    <xf numFmtId="0" fontId="47" fillId="38" borderId="2" xfId="0" applyFont="1" applyFill="1" applyBorder="1" applyAlignment="1">
      <alignment vertical="top" wrapText="1"/>
    </xf>
    <xf numFmtId="0" fontId="47" fillId="38" borderId="5" xfId="0" applyFont="1" applyFill="1" applyBorder="1" applyAlignment="1">
      <alignment vertical="center" wrapText="1"/>
    </xf>
    <xf numFmtId="0" fontId="53" fillId="4" borderId="0" xfId="0" quotePrefix="1" applyFont="1" applyFill="1" applyAlignment="1">
      <alignment horizontal="left" vertical="top" wrapText="1"/>
    </xf>
    <xf numFmtId="0" fontId="53" fillId="4" borderId="0" xfId="0" applyFont="1" applyFill="1" applyAlignment="1">
      <alignment horizontal="left" vertical="top" wrapText="1"/>
    </xf>
    <xf numFmtId="175" fontId="0" fillId="34" borderId="0" xfId="0" applyNumberFormat="1" applyFill="1"/>
    <xf numFmtId="0" fontId="68" fillId="8" borderId="1" xfId="8" applyFill="1" applyBorder="1" applyAlignment="1">
      <alignment vertical="center" wrapText="1"/>
    </xf>
    <xf numFmtId="0" fontId="51" fillId="13" borderId="17" xfId="0" applyFont="1" applyFill="1" applyBorder="1"/>
    <xf numFmtId="0" fontId="51" fillId="13" borderId="43" xfId="0" applyFont="1" applyFill="1" applyBorder="1"/>
    <xf numFmtId="0" fontId="51" fillId="13" borderId="44" xfId="0" applyFont="1" applyFill="1" applyBorder="1"/>
    <xf numFmtId="168" fontId="2" fillId="2" borderId="143" xfId="1" applyNumberFormat="1" applyFont="1" applyFill="1" applyBorder="1" applyAlignment="1">
      <alignment horizontal="right" vertical="center" wrapText="1"/>
    </xf>
    <xf numFmtId="168" fontId="2" fillId="2" borderId="143" xfId="1" quotePrefix="1" applyNumberFormat="1" applyFont="1" applyFill="1" applyBorder="1" applyAlignment="1">
      <alignment horizontal="right" vertical="center" wrapText="1"/>
    </xf>
    <xf numFmtId="168" fontId="2" fillId="2" borderId="144" xfId="1" applyNumberFormat="1" applyFont="1" applyFill="1" applyBorder="1" applyAlignment="1">
      <alignment horizontal="right" vertical="center" wrapText="1"/>
    </xf>
    <xf numFmtId="168" fontId="0" fillId="4" borderId="59" xfId="1" applyNumberFormat="1" applyFont="1" applyFill="1" applyBorder="1" applyAlignment="1">
      <alignment horizontal="center" vertical="center" wrapText="1"/>
    </xf>
    <xf numFmtId="0" fontId="11" fillId="19" borderId="68" xfId="0" applyFont="1" applyFill="1" applyBorder="1" applyAlignment="1">
      <alignment horizontal="center" vertical="center" wrapText="1"/>
    </xf>
    <xf numFmtId="0" fontId="11" fillId="19" borderId="73" xfId="0" applyFont="1" applyFill="1" applyBorder="1" applyAlignment="1">
      <alignment horizontal="center" vertical="center" wrapText="1"/>
    </xf>
    <xf numFmtId="0" fontId="11" fillId="19" borderId="74" xfId="0" applyFont="1" applyFill="1" applyBorder="1" applyAlignment="1">
      <alignment horizontal="center" vertical="center" wrapText="1"/>
    </xf>
    <xf numFmtId="0" fontId="0" fillId="0" borderId="67" xfId="7" applyFont="1" applyBorder="1">
      <alignment wrapText="1"/>
    </xf>
    <xf numFmtId="168" fontId="0" fillId="0" borderId="68" xfId="1" applyNumberFormat="1" applyFont="1" applyFill="1" applyBorder="1" applyAlignment="1">
      <alignment horizontal="center" vertical="center" wrapText="1"/>
    </xf>
    <xf numFmtId="168" fontId="0" fillId="0" borderId="68" xfId="1" applyNumberFormat="1" applyFont="1" applyFill="1" applyBorder="1" applyAlignment="1">
      <alignment horizontal="right" vertical="center" wrapText="1"/>
    </xf>
    <xf numFmtId="168" fontId="0" fillId="0" borderId="69" xfId="1" applyNumberFormat="1" applyFont="1" applyFill="1" applyBorder="1" applyAlignment="1">
      <alignment horizontal="right" vertical="center" wrapText="1"/>
    </xf>
    <xf numFmtId="168" fontId="0" fillId="4" borderId="73" xfId="1" applyNumberFormat="1" applyFont="1" applyFill="1" applyBorder="1" applyAlignment="1">
      <alignment horizontal="center" vertical="center" wrapText="1"/>
    </xf>
    <xf numFmtId="0" fontId="11" fillId="33" borderId="151" xfId="0" applyFont="1" applyFill="1" applyBorder="1"/>
    <xf numFmtId="0" fontId="11" fillId="33" borderId="152" xfId="0" applyFont="1" applyFill="1" applyBorder="1" applyAlignment="1">
      <alignment wrapText="1"/>
    </xf>
    <xf numFmtId="0" fontId="11" fillId="33" borderId="153" xfId="0" applyFont="1" applyFill="1" applyBorder="1"/>
    <xf numFmtId="0" fontId="0" fillId="4" borderId="157" xfId="0" applyFill="1" applyBorder="1"/>
    <xf numFmtId="0" fontId="0" fillId="4" borderId="159" xfId="0" applyFill="1" applyBorder="1"/>
    <xf numFmtId="0" fontId="0" fillId="4" borderId="160" xfId="0" applyFill="1" applyBorder="1"/>
    <xf numFmtId="0" fontId="0" fillId="4" borderId="161" xfId="0" applyFill="1" applyBorder="1"/>
    <xf numFmtId="0" fontId="12" fillId="33" borderId="165" xfId="0" applyFont="1" applyFill="1" applyBorder="1" applyAlignment="1">
      <alignment wrapText="1"/>
    </xf>
    <xf numFmtId="0" fontId="11" fillId="33" borderId="67" xfId="0" applyFont="1" applyFill="1" applyBorder="1" applyAlignment="1">
      <alignment wrapText="1"/>
    </xf>
    <xf numFmtId="0" fontId="11" fillId="33" borderId="68" xfId="0" applyFont="1" applyFill="1" applyBorder="1" applyAlignment="1">
      <alignment wrapText="1"/>
    </xf>
    <xf numFmtId="0" fontId="11" fillId="33" borderId="68" xfId="1" applyNumberFormat="1" applyFont="1" applyFill="1" applyBorder="1" applyAlignment="1">
      <alignment horizontal="center" vertical="center"/>
    </xf>
    <xf numFmtId="0" fontId="0" fillId="4" borderId="73" xfId="0" applyFill="1" applyBorder="1" applyAlignment="1">
      <alignment wrapText="1"/>
    </xf>
    <xf numFmtId="166" fontId="0" fillId="4" borderId="73" xfId="1" applyNumberFormat="1" applyFont="1" applyFill="1" applyBorder="1"/>
    <xf numFmtId="0" fontId="0" fillId="4" borderId="73" xfId="0" applyFill="1" applyBorder="1" applyAlignment="1">
      <alignment horizontal="left"/>
    </xf>
    <xf numFmtId="0" fontId="11" fillId="33" borderId="68" xfId="0" applyFont="1" applyFill="1" applyBorder="1"/>
    <xf numFmtId="9" fontId="0" fillId="14" borderId="73" xfId="2" applyFont="1" applyFill="1" applyBorder="1"/>
    <xf numFmtId="0" fontId="0" fillId="4" borderId="103" xfId="0" applyFill="1" applyBorder="1" applyAlignment="1">
      <alignment horizontal="left" vertical="top" wrapText="1"/>
    </xf>
    <xf numFmtId="0" fontId="0" fillId="4" borderId="111" xfId="0" applyFill="1" applyBorder="1" applyAlignment="1">
      <alignment horizontal="left" vertical="top" wrapText="1"/>
    </xf>
    <xf numFmtId="0" fontId="0" fillId="4" borderId="114" xfId="0" applyFill="1" applyBorder="1" applyAlignment="1">
      <alignment horizontal="left" vertical="top" wrapText="1"/>
    </xf>
    <xf numFmtId="0" fontId="2" fillId="0" borderId="48" xfId="0" applyFont="1" applyBorder="1"/>
    <xf numFmtId="0" fontId="47" fillId="0" borderId="49" xfId="0" applyFont="1" applyBorder="1"/>
    <xf numFmtId="0" fontId="47" fillId="0" borderId="50" xfId="0" applyFont="1" applyBorder="1"/>
    <xf numFmtId="0" fontId="48" fillId="0" borderId="48" xfId="0" applyFont="1" applyBorder="1"/>
    <xf numFmtId="0" fontId="0" fillId="29" borderId="2" xfId="0" applyFill="1" applyBorder="1" applyAlignment="1">
      <alignment wrapText="1"/>
    </xf>
    <xf numFmtId="0" fontId="0" fillId="29" borderId="0" xfId="0" applyFill="1"/>
    <xf numFmtId="0" fontId="0" fillId="4" borderId="0" xfId="0" applyFill="1" applyAlignment="1">
      <alignment horizontal="left" vertical="center" wrapText="1"/>
    </xf>
    <xf numFmtId="0" fontId="0" fillId="0" borderId="93" xfId="0" applyBorder="1" applyAlignment="1">
      <alignment horizontal="left"/>
    </xf>
    <xf numFmtId="0" fontId="0" fillId="0" borderId="104" xfId="0" applyBorder="1" applyAlignment="1">
      <alignment horizontal="left"/>
    </xf>
    <xf numFmtId="0" fontId="24" fillId="0" borderId="1" xfId="0" applyFont="1" applyBorder="1"/>
    <xf numFmtId="0" fontId="24" fillId="0" borderId="0" xfId="0" applyFont="1"/>
    <xf numFmtId="0" fontId="0" fillId="0" borderId="0" xfId="0" applyAlignment="1">
      <alignment horizontal="center" vertical="center"/>
    </xf>
    <xf numFmtId="0" fontId="12" fillId="33" borderId="171" xfId="0" applyFont="1" applyFill="1" applyBorder="1" applyAlignment="1">
      <alignment wrapText="1"/>
    </xf>
    <xf numFmtId="0" fontId="0" fillId="4" borderId="0" xfId="0" applyFill="1" applyAlignment="1">
      <alignment horizontal="left" wrapText="1"/>
    </xf>
    <xf numFmtId="0" fontId="0" fillId="29" borderId="13" xfId="0" applyFill="1" applyBorder="1"/>
    <xf numFmtId="0" fontId="0" fillId="29" borderId="16" xfId="0" applyFill="1" applyBorder="1"/>
    <xf numFmtId="0" fontId="0" fillId="0" borderId="93" xfId="0" applyBorder="1" applyAlignment="1">
      <alignment horizontal="left" wrapText="1"/>
    </xf>
    <xf numFmtId="0" fontId="0" fillId="4" borderId="93" xfId="0" applyFill="1" applyBorder="1"/>
    <xf numFmtId="9" fontId="0" fillId="0" borderId="93" xfId="0" applyNumberFormat="1" applyBorder="1" applyAlignment="1">
      <alignment horizontal="left"/>
    </xf>
    <xf numFmtId="166" fontId="0" fillId="4" borderId="93" xfId="1" applyNumberFormat="1" applyFont="1" applyFill="1" applyBorder="1"/>
    <xf numFmtId="43" fontId="0" fillId="4" borderId="93" xfId="0" applyNumberFormat="1" applyFill="1" applyBorder="1"/>
    <xf numFmtId="0" fontId="11" fillId="33" borderId="100" xfId="0" applyFont="1" applyFill="1" applyBorder="1"/>
    <xf numFmtId="0" fontId="11" fillId="33" borderId="102" xfId="0" applyFont="1" applyFill="1" applyBorder="1" applyAlignment="1">
      <alignment wrapText="1"/>
    </xf>
    <xf numFmtId="0" fontId="11" fillId="33" borderId="102" xfId="0" applyFont="1" applyFill="1" applyBorder="1"/>
    <xf numFmtId="0" fontId="11" fillId="33" borderId="99" xfId="0" applyFont="1" applyFill="1" applyBorder="1" applyAlignment="1">
      <alignment wrapText="1"/>
    </xf>
    <xf numFmtId="0" fontId="2" fillId="4" borderId="103" xfId="0" applyFont="1" applyFill="1" applyBorder="1"/>
    <xf numFmtId="0" fontId="0" fillId="4" borderId="104" xfId="0" applyFill="1" applyBorder="1"/>
    <xf numFmtId="0" fontId="0" fillId="4" borderId="103" xfId="0" applyFill="1" applyBorder="1"/>
    <xf numFmtId="0" fontId="0" fillId="4" borderId="96" xfId="0" applyFill="1" applyBorder="1"/>
    <xf numFmtId="0" fontId="0" fillId="0" borderId="101" xfId="0" applyBorder="1" applyAlignment="1">
      <alignment horizontal="left" wrapText="1"/>
    </xf>
    <xf numFmtId="43" fontId="0" fillId="4" borderId="101" xfId="0" applyNumberFormat="1" applyFill="1" applyBorder="1"/>
    <xf numFmtId="9" fontId="0" fillId="0" borderId="101" xfId="0" applyNumberFormat="1" applyBorder="1" applyAlignment="1">
      <alignment horizontal="left"/>
    </xf>
    <xf numFmtId="0" fontId="0" fillId="4" borderId="95" xfId="0" applyFill="1" applyBorder="1"/>
    <xf numFmtId="0" fontId="8" fillId="4" borderId="93" xfId="0" applyFont="1" applyFill="1" applyBorder="1"/>
    <xf numFmtId="0" fontId="8" fillId="4" borderId="94" xfId="0" applyFont="1" applyFill="1" applyBorder="1"/>
    <xf numFmtId="0" fontId="8" fillId="4" borderId="101" xfId="0" applyFont="1" applyFill="1" applyBorder="1"/>
    <xf numFmtId="0" fontId="11" fillId="33" borderId="98" xfId="0" applyFont="1" applyFill="1" applyBorder="1"/>
    <xf numFmtId="0" fontId="11" fillId="33" borderId="116" xfId="0" applyFont="1" applyFill="1" applyBorder="1"/>
    <xf numFmtId="0" fontId="11" fillId="33" borderId="97" xfId="0" applyFont="1" applyFill="1" applyBorder="1"/>
    <xf numFmtId="0" fontId="2" fillId="4" borderId="114" xfId="0" applyFont="1" applyFill="1" applyBorder="1"/>
    <xf numFmtId="0" fontId="0" fillId="4" borderId="115" xfId="0" applyFill="1" applyBorder="1"/>
    <xf numFmtId="0" fontId="8" fillId="4" borderId="104" xfId="0" applyFont="1" applyFill="1" applyBorder="1"/>
    <xf numFmtId="0" fontId="8" fillId="4" borderId="95" xfId="0" applyFont="1" applyFill="1" applyBorder="1"/>
    <xf numFmtId="0" fontId="8" fillId="4" borderId="115" xfId="0" applyFont="1" applyFill="1" applyBorder="1"/>
    <xf numFmtId="0" fontId="0" fillId="4" borderId="94" xfId="0" applyFill="1" applyBorder="1" applyAlignment="1">
      <alignment horizontal="center"/>
    </xf>
    <xf numFmtId="0" fontId="0" fillId="4" borderId="93" xfId="0" applyFill="1" applyBorder="1" applyAlignment="1">
      <alignment horizontal="center"/>
    </xf>
    <xf numFmtId="0" fontId="0" fillId="4" borderId="101" xfId="0" applyFill="1" applyBorder="1" applyAlignment="1">
      <alignment horizontal="center"/>
    </xf>
    <xf numFmtId="166" fontId="25" fillId="12" borderId="93" xfId="1" applyNumberFormat="1" applyFont="1" applyFill="1" applyBorder="1" applyAlignment="1" applyProtection="1">
      <alignment horizontal="center" vertical="center" wrapText="1"/>
      <protection locked="0"/>
    </xf>
    <xf numFmtId="0" fontId="8" fillId="32" borderId="185" xfId="0" applyFont="1" applyFill="1" applyBorder="1"/>
    <xf numFmtId="0" fontId="0" fillId="32" borderId="185" xfId="0" applyFill="1" applyBorder="1" applyAlignment="1">
      <alignment horizontal="left" wrapText="1"/>
    </xf>
    <xf numFmtId="0" fontId="0" fillId="11" borderId="0" xfId="0" applyFill="1"/>
    <xf numFmtId="0" fontId="0" fillId="31" borderId="0" xfId="0" applyFill="1"/>
    <xf numFmtId="0" fontId="0" fillId="4" borderId="140" xfId="0" applyFill="1" applyBorder="1"/>
    <xf numFmtId="0" fontId="0" fillId="4" borderId="140" xfId="0" applyFill="1" applyBorder="1" applyAlignment="1">
      <alignment horizontal="center"/>
    </xf>
    <xf numFmtId="0" fontId="0" fillId="4" borderId="180" xfId="0" applyFill="1" applyBorder="1"/>
    <xf numFmtId="0" fontId="8" fillId="32" borderId="193" xfId="0" applyFont="1" applyFill="1" applyBorder="1"/>
    <xf numFmtId="0" fontId="0" fillId="32" borderId="193" xfId="0" applyFill="1" applyBorder="1" applyAlignment="1">
      <alignment horizontal="left" wrapText="1"/>
    </xf>
    <xf numFmtId="0" fontId="8" fillId="11" borderId="193" xfId="0" applyFont="1" applyFill="1" applyBorder="1"/>
    <xf numFmtId="0" fontId="0" fillId="11" borderId="193" xfId="0" applyFill="1" applyBorder="1" applyAlignment="1">
      <alignment horizontal="left" wrapText="1"/>
    </xf>
    <xf numFmtId="0" fontId="8" fillId="31" borderId="193" xfId="0" applyFont="1" applyFill="1" applyBorder="1"/>
    <xf numFmtId="0" fontId="0" fillId="31" borderId="193" xfId="0" applyFill="1" applyBorder="1" applyAlignment="1">
      <alignment horizontal="left" wrapText="1"/>
    </xf>
    <xf numFmtId="0" fontId="0" fillId="39" borderId="1" xfId="0" applyFill="1" applyBorder="1"/>
    <xf numFmtId="0" fontId="2" fillId="4" borderId="139" xfId="0" applyFont="1" applyFill="1" applyBorder="1"/>
    <xf numFmtId="0" fontId="0" fillId="4" borderId="6" xfId="0" applyFill="1" applyBorder="1"/>
    <xf numFmtId="44" fontId="0" fillId="4" borderId="0" xfId="5" applyFont="1" applyFill="1" applyBorder="1"/>
    <xf numFmtId="0" fontId="24" fillId="4" borderId="0" xfId="0" applyFont="1" applyFill="1" applyAlignment="1">
      <alignment horizontal="left"/>
    </xf>
    <xf numFmtId="44" fontId="24" fillId="0" borderId="0" xfId="5" applyFont="1" applyFill="1" applyBorder="1"/>
    <xf numFmtId="0" fontId="0" fillId="14" borderId="83" xfId="0" applyFill="1" applyBorder="1" applyAlignment="1">
      <alignment horizontal="left"/>
    </xf>
    <xf numFmtId="0" fontId="0" fillId="14" borderId="84" xfId="0" applyFill="1" applyBorder="1" applyAlignment="1">
      <alignment horizontal="left"/>
    </xf>
    <xf numFmtId="0" fontId="0" fillId="14" borderId="86" xfId="0" applyFill="1" applyBorder="1" applyAlignment="1">
      <alignment horizontal="left"/>
    </xf>
    <xf numFmtId="0" fontId="11" fillId="33" borderId="93" xfId="0" applyFont="1" applyFill="1" applyBorder="1" applyAlignment="1">
      <alignment horizontal="center" wrapText="1"/>
    </xf>
    <xf numFmtId="43" fontId="8" fillId="32" borderId="93" xfId="2" applyNumberFormat="1" applyFont="1" applyFill="1" applyBorder="1"/>
    <xf numFmtId="43" fontId="52" fillId="32" borderId="93" xfId="0" applyNumberFormat="1" applyFont="1" applyFill="1" applyBorder="1"/>
    <xf numFmtId="43" fontId="8" fillId="11" borderId="93" xfId="2" applyNumberFormat="1" applyFont="1" applyFill="1" applyBorder="1"/>
    <xf numFmtId="43" fontId="52" fillId="11" borderId="93" xfId="0" applyNumberFormat="1" applyFont="1" applyFill="1" applyBorder="1"/>
    <xf numFmtId="43" fontId="8" fillId="31" borderId="93" xfId="2" applyNumberFormat="1" applyFont="1" applyFill="1" applyBorder="1"/>
    <xf numFmtId="43" fontId="52" fillId="31" borderId="93" xfId="0" applyNumberFormat="1" applyFont="1" applyFill="1" applyBorder="1"/>
    <xf numFmtId="43" fontId="0" fillId="4" borderId="0" xfId="0" applyNumberFormat="1" applyFill="1" applyAlignment="1">
      <alignment horizontal="left"/>
    </xf>
    <xf numFmtId="10" fontId="0" fillId="4" borderId="0" xfId="2" applyNumberFormat="1" applyFont="1" applyFill="1" applyAlignment="1">
      <alignment horizontal="left"/>
    </xf>
    <xf numFmtId="0" fontId="0" fillId="16" borderId="0" xfId="0" applyFill="1" applyAlignment="1">
      <alignment wrapText="1"/>
    </xf>
    <xf numFmtId="43" fontId="0" fillId="16" borderId="0" xfId="0" applyNumberFormat="1" applyFill="1" applyAlignment="1">
      <alignment wrapText="1"/>
    </xf>
    <xf numFmtId="0" fontId="0" fillId="16" borderId="59" xfId="0" applyFill="1" applyBorder="1" applyAlignment="1">
      <alignment horizontal="center" wrapText="1"/>
    </xf>
    <xf numFmtId="0" fontId="0" fillId="0" borderId="59" xfId="0" applyBorder="1" applyAlignment="1">
      <alignment horizontal="center" wrapText="1"/>
    </xf>
    <xf numFmtId="0" fontId="0" fillId="4" borderId="0" xfId="0" applyFill="1" applyAlignment="1">
      <alignment horizontal="center" vertical="center"/>
    </xf>
    <xf numFmtId="0" fontId="0" fillId="4" borderId="0" xfId="0" quotePrefix="1" applyFill="1"/>
    <xf numFmtId="0" fontId="0" fillId="4" borderId="45" xfId="0" applyFill="1" applyBorder="1"/>
    <xf numFmtId="0" fontId="27" fillId="4" borderId="0" xfId="0" applyFont="1" applyFill="1" applyAlignment="1">
      <alignment vertical="center" wrapText="1"/>
    </xf>
    <xf numFmtId="0" fontId="43" fillId="4" borderId="0" xfId="0" applyFont="1" applyFill="1"/>
    <xf numFmtId="0" fontId="43" fillId="4" borderId="0" xfId="0" applyFont="1" applyFill="1" applyAlignment="1">
      <alignment horizontal="center" vertical="center"/>
    </xf>
    <xf numFmtId="0" fontId="0" fillId="4" borderId="0" xfId="0" applyFill="1" applyAlignment="1">
      <alignment horizontal="center" wrapText="1"/>
    </xf>
    <xf numFmtId="0" fontId="27" fillId="16" borderId="202" xfId="0" applyFont="1" applyFill="1" applyBorder="1" applyAlignment="1">
      <alignment vertical="center" wrapText="1"/>
    </xf>
    <xf numFmtId="0" fontId="26" fillId="16" borderId="202" xfId="0" applyFont="1" applyFill="1" applyBorder="1" applyAlignment="1">
      <alignment vertical="center" wrapText="1"/>
    </xf>
    <xf numFmtId="0" fontId="27" fillId="0" borderId="202" xfId="0" applyFont="1" applyBorder="1" applyAlignment="1">
      <alignment vertical="center" wrapText="1"/>
    </xf>
    <xf numFmtId="0" fontId="26" fillId="0" borderId="202" xfId="0" applyFont="1" applyBorder="1" applyAlignment="1">
      <alignment vertical="center" wrapText="1"/>
    </xf>
    <xf numFmtId="0" fontId="0" fillId="16" borderId="202" xfId="0" applyFill="1" applyBorder="1" applyAlignment="1">
      <alignment horizontal="center" wrapText="1"/>
    </xf>
    <xf numFmtId="0" fontId="0" fillId="16" borderId="203" xfId="0" applyFill="1" applyBorder="1" applyAlignment="1">
      <alignment horizontal="center" wrapText="1"/>
    </xf>
    <xf numFmtId="0" fontId="0" fillId="0" borderId="202" xfId="0" applyBorder="1" applyAlignment="1">
      <alignment horizontal="center" wrapText="1"/>
    </xf>
    <xf numFmtId="0" fontId="0" fillId="0" borderId="203" xfId="0" applyBorder="1" applyAlignment="1">
      <alignment horizontal="center" wrapText="1"/>
    </xf>
    <xf numFmtId="0" fontId="27" fillId="16" borderId="210" xfId="0" applyFont="1" applyFill="1" applyBorder="1" applyAlignment="1">
      <alignment vertical="center" wrapText="1"/>
    </xf>
    <xf numFmtId="0" fontId="0" fillId="16" borderId="210" xfId="0" applyFill="1" applyBorder="1" applyAlignment="1">
      <alignment horizontal="center" wrapText="1"/>
    </xf>
    <xf numFmtId="0" fontId="0" fillId="16" borderId="60" xfId="0" applyFill="1" applyBorder="1" applyAlignment="1">
      <alignment horizontal="center" wrapText="1"/>
    </xf>
    <xf numFmtId="0" fontId="0" fillId="16" borderId="211" xfId="0" applyFill="1" applyBorder="1" applyAlignment="1">
      <alignment horizontal="center" wrapText="1"/>
    </xf>
    <xf numFmtId="0" fontId="2" fillId="0" borderId="204" xfId="0" applyFont="1" applyBorder="1"/>
    <xf numFmtId="0" fontId="69" fillId="0" borderId="205" xfId="0" applyFont="1" applyBorder="1"/>
    <xf numFmtId="0" fontId="69" fillId="0" borderId="205" xfId="0" applyFont="1" applyBorder="1" applyAlignment="1">
      <alignment horizontal="center" vertical="center"/>
    </xf>
    <xf numFmtId="0" fontId="69" fillId="0" borderId="206" xfId="0" applyFont="1" applyBorder="1" applyAlignment="1">
      <alignment horizontal="center" vertical="center"/>
    </xf>
    <xf numFmtId="0" fontId="2" fillId="0" borderId="204" xfId="0" applyFont="1" applyBorder="1" applyAlignment="1">
      <alignment horizontal="left" wrapText="1"/>
    </xf>
    <xf numFmtId="0" fontId="2" fillId="0" borderId="205" xfId="0" applyFont="1" applyBorder="1" applyAlignment="1">
      <alignment horizontal="left" wrapText="1"/>
    </xf>
    <xf numFmtId="0" fontId="2" fillId="0" borderId="206" xfId="0" applyFont="1" applyBorder="1" applyAlignment="1">
      <alignment horizontal="left" wrapText="1"/>
    </xf>
    <xf numFmtId="43" fontId="0" fillId="4" borderId="59" xfId="1" applyFont="1" applyFill="1" applyBorder="1"/>
    <xf numFmtId="43" fontId="0" fillId="14" borderId="60" xfId="1" applyFont="1" applyFill="1" applyBorder="1"/>
    <xf numFmtId="43" fontId="0" fillId="14" borderId="59" xfId="1" applyFont="1" applyFill="1" applyBorder="1"/>
    <xf numFmtId="43" fontId="0" fillId="14" borderId="73" xfId="1" applyFont="1" applyFill="1" applyBorder="1"/>
    <xf numFmtId="0" fontId="11" fillId="33" borderId="174" xfId="0" applyFont="1" applyFill="1" applyBorder="1"/>
    <xf numFmtId="44" fontId="0" fillId="14" borderId="83" xfId="0" applyNumberFormat="1" applyFill="1" applyBorder="1"/>
    <xf numFmtId="43" fontId="0" fillId="14" borderId="83" xfId="1" applyFont="1" applyFill="1" applyBorder="1"/>
    <xf numFmtId="43" fontId="0" fillId="14" borderId="63" xfId="1" applyFont="1" applyFill="1" applyBorder="1"/>
    <xf numFmtId="0" fontId="0" fillId="4" borderId="21" xfId="0" applyFill="1" applyBorder="1" applyAlignment="1">
      <alignment vertical="center"/>
    </xf>
    <xf numFmtId="0" fontId="0" fillId="4" borderId="3" xfId="0" applyFill="1" applyBorder="1" applyAlignment="1">
      <alignment vertical="center"/>
    </xf>
    <xf numFmtId="0" fontId="0" fillId="4" borderId="5" xfId="0" applyFill="1" applyBorder="1" applyAlignment="1">
      <alignment vertical="center"/>
    </xf>
    <xf numFmtId="43" fontId="0" fillId="14" borderId="81" xfId="1" applyFont="1" applyFill="1" applyBorder="1"/>
    <xf numFmtId="43" fontId="0" fillId="14" borderId="68" xfId="1" applyFont="1" applyFill="1" applyBorder="1"/>
    <xf numFmtId="43" fontId="0" fillId="14" borderId="174" xfId="1" applyFont="1" applyFill="1" applyBorder="1"/>
    <xf numFmtId="0" fontId="0" fillId="14" borderId="174" xfId="0" applyFill="1" applyBorder="1" applyAlignment="1">
      <alignment horizontal="left"/>
    </xf>
    <xf numFmtId="0" fontId="0" fillId="14" borderId="78" xfId="0" applyFill="1" applyBorder="1" applyAlignment="1">
      <alignment horizontal="left"/>
    </xf>
    <xf numFmtId="0" fontId="0" fillId="14" borderId="79" xfId="0" applyFill="1" applyBorder="1" applyAlignment="1">
      <alignment horizontal="left"/>
    </xf>
    <xf numFmtId="43" fontId="0" fillId="14" borderId="87" xfId="1" applyFont="1" applyFill="1" applyBorder="1"/>
    <xf numFmtId="0" fontId="11" fillId="33" borderId="146" xfId="0" applyFont="1" applyFill="1" applyBorder="1" applyAlignment="1">
      <alignment vertical="center" wrapText="1"/>
    </xf>
    <xf numFmtId="0" fontId="0" fillId="14" borderId="81" xfId="0" applyFill="1" applyBorder="1" applyAlignment="1">
      <alignment horizontal="left"/>
    </xf>
    <xf numFmtId="0" fontId="0" fillId="14" borderId="66" xfId="0" applyFill="1" applyBorder="1" applyAlignment="1">
      <alignment horizontal="left"/>
    </xf>
    <xf numFmtId="0" fontId="0" fillId="14" borderId="75" xfId="0" applyFill="1" applyBorder="1" applyAlignment="1">
      <alignment horizontal="left"/>
    </xf>
    <xf numFmtId="44" fontId="0" fillId="14" borderId="73" xfId="5" applyFont="1" applyFill="1" applyBorder="1"/>
    <xf numFmtId="9" fontId="0" fillId="14" borderId="68" xfId="2" applyFont="1" applyFill="1" applyBorder="1"/>
    <xf numFmtId="0" fontId="0" fillId="4" borderId="21" xfId="0" applyFill="1" applyBorder="1"/>
    <xf numFmtId="0" fontId="0" fillId="4" borderId="3" xfId="0" applyFill="1" applyBorder="1"/>
    <xf numFmtId="0" fontId="0" fillId="4" borderId="5" xfId="0" applyFill="1" applyBorder="1"/>
    <xf numFmtId="43" fontId="0" fillId="14" borderId="177" xfId="1" applyFont="1" applyFill="1" applyBorder="1"/>
    <xf numFmtId="43" fontId="0" fillId="14" borderId="85" xfId="1" applyFont="1" applyFill="1" applyBorder="1"/>
    <xf numFmtId="43" fontId="0" fillId="14" borderId="65" xfId="1" applyFont="1" applyFill="1" applyBorder="1"/>
    <xf numFmtId="43" fontId="0" fillId="14" borderId="90" xfId="1" applyFont="1" applyFill="1" applyBorder="1"/>
    <xf numFmtId="43" fontId="0" fillId="14" borderId="82" xfId="1" applyFont="1" applyFill="1" applyBorder="1"/>
    <xf numFmtId="44" fontId="0" fillId="14" borderId="65" xfId="5" applyFont="1" applyFill="1" applyBorder="1"/>
    <xf numFmtId="44" fontId="0" fillId="14" borderId="90" xfId="5" applyFont="1" applyFill="1" applyBorder="1"/>
    <xf numFmtId="0" fontId="0" fillId="4" borderId="213" xfId="0" applyFill="1" applyBorder="1" applyAlignment="1">
      <alignment wrapText="1"/>
    </xf>
    <xf numFmtId="0" fontId="0" fillId="4" borderId="214" xfId="0" applyFill="1" applyBorder="1" applyAlignment="1">
      <alignment wrapText="1"/>
    </xf>
    <xf numFmtId="0" fontId="0" fillId="4" borderId="215" xfId="0" applyFill="1" applyBorder="1" applyAlignment="1">
      <alignment wrapText="1"/>
    </xf>
    <xf numFmtId="0" fontId="0" fillId="4" borderId="216" xfId="0" applyFill="1" applyBorder="1" applyAlignment="1">
      <alignment wrapText="1"/>
    </xf>
    <xf numFmtId="0" fontId="0" fillId="4" borderId="217" xfId="0" applyFill="1" applyBorder="1" applyAlignment="1">
      <alignment wrapText="1"/>
    </xf>
    <xf numFmtId="166" fontId="0" fillId="14" borderId="177" xfId="1" applyNumberFormat="1" applyFont="1" applyFill="1" applyBorder="1"/>
    <xf numFmtId="44" fontId="2" fillId="14" borderId="83" xfId="0" applyNumberFormat="1" applyFont="1" applyFill="1" applyBorder="1"/>
    <xf numFmtId="43" fontId="2" fillId="14" borderId="174" xfId="1" applyFont="1" applyFill="1" applyBorder="1"/>
    <xf numFmtId="43" fontId="2" fillId="14" borderId="83" xfId="1" applyFont="1" applyFill="1" applyBorder="1"/>
    <xf numFmtId="43" fontId="2" fillId="14" borderId="63" xfId="1" applyFont="1" applyFill="1" applyBorder="1"/>
    <xf numFmtId="43" fontId="2" fillId="14" borderId="87" xfId="1" applyFont="1" applyFill="1" applyBorder="1"/>
    <xf numFmtId="43" fontId="2" fillId="14" borderId="68" xfId="1" applyFont="1" applyFill="1" applyBorder="1"/>
    <xf numFmtId="43" fontId="2" fillId="14" borderId="59" xfId="1" applyFont="1" applyFill="1" applyBorder="1"/>
    <xf numFmtId="43" fontId="2" fillId="14" borderId="212" xfId="1" applyFont="1" applyFill="1" applyBorder="1"/>
    <xf numFmtId="43" fontId="2" fillId="14" borderId="81" xfId="1" applyFont="1" applyFill="1" applyBorder="1"/>
    <xf numFmtId="44" fontId="2" fillId="14" borderId="59" xfId="5" applyFont="1" applyFill="1" applyBorder="1"/>
    <xf numFmtId="44" fontId="2" fillId="14" borderId="73" xfId="5" applyFont="1" applyFill="1" applyBorder="1"/>
    <xf numFmtId="9" fontId="2" fillId="14" borderId="68" xfId="2" applyFont="1" applyFill="1" applyBorder="1"/>
    <xf numFmtId="9" fontId="2" fillId="14" borderId="73" xfId="2" applyFont="1" applyFill="1" applyBorder="1"/>
    <xf numFmtId="0" fontId="0" fillId="4" borderId="61" xfId="0" applyFill="1" applyBorder="1" applyAlignment="1">
      <alignment horizontal="left"/>
    </xf>
    <xf numFmtId="0" fontId="0" fillId="4" borderId="62" xfId="0" applyFill="1" applyBorder="1" applyAlignment="1">
      <alignment horizontal="left"/>
    </xf>
    <xf numFmtId="0" fontId="0" fillId="4" borderId="158" xfId="0" applyFill="1" applyBorder="1" applyAlignment="1">
      <alignment horizontal="left"/>
    </xf>
    <xf numFmtId="0" fontId="0" fillId="4" borderId="162" xfId="0" applyFill="1" applyBorder="1" applyAlignment="1">
      <alignment horizontal="left"/>
    </xf>
    <xf numFmtId="0" fontId="0" fillId="4" borderId="163" xfId="0" applyFill="1" applyBorder="1" applyAlignment="1">
      <alignment horizontal="left"/>
    </xf>
    <xf numFmtId="0" fontId="0" fillId="4" borderId="164" xfId="0" applyFill="1" applyBorder="1" applyAlignment="1">
      <alignment horizontal="left"/>
    </xf>
    <xf numFmtId="0" fontId="2" fillId="40" borderId="204" xfId="0" applyFont="1" applyFill="1" applyBorder="1" applyAlignment="1">
      <alignment horizontal="left" wrapText="1"/>
    </xf>
    <xf numFmtId="0" fontId="2" fillId="40" borderId="205" xfId="0" applyFont="1" applyFill="1" applyBorder="1" applyAlignment="1">
      <alignment horizontal="left" wrapText="1"/>
    </xf>
    <xf numFmtId="0" fontId="2" fillId="40" borderId="206" xfId="0" applyFont="1" applyFill="1" applyBorder="1" applyAlignment="1">
      <alignment horizontal="left" wrapText="1"/>
    </xf>
    <xf numFmtId="0" fontId="0" fillId="40" borderId="210" xfId="0" applyFill="1" applyBorder="1" applyAlignment="1">
      <alignment horizontal="center" wrapText="1"/>
    </xf>
    <xf numFmtId="0" fontId="0" fillId="40" borderId="60" xfId="0" applyFill="1" applyBorder="1" applyAlignment="1">
      <alignment horizontal="center" wrapText="1"/>
    </xf>
    <xf numFmtId="0" fontId="0" fillId="40" borderId="211" xfId="0" applyFill="1" applyBorder="1" applyAlignment="1">
      <alignment horizontal="center" wrapText="1"/>
    </xf>
    <xf numFmtId="0" fontId="0" fillId="40" borderId="202" xfId="0" applyFill="1" applyBorder="1" applyAlignment="1">
      <alignment horizontal="center" wrapText="1"/>
    </xf>
    <xf numFmtId="0" fontId="0" fillId="40" borderId="59" xfId="0" applyFill="1" applyBorder="1" applyAlignment="1">
      <alignment horizontal="center" wrapText="1"/>
    </xf>
    <xf numFmtId="0" fontId="0" fillId="40" borderId="203" xfId="0" applyFill="1" applyBorder="1" applyAlignment="1">
      <alignment horizontal="center" wrapText="1"/>
    </xf>
    <xf numFmtId="0" fontId="22" fillId="16" borderId="60" xfId="0" applyFont="1" applyFill="1" applyBorder="1" applyAlignment="1">
      <alignment wrapText="1"/>
    </xf>
    <xf numFmtId="0" fontId="22" fillId="16" borderId="60" xfId="0" applyFont="1" applyFill="1" applyBorder="1" applyAlignment="1">
      <alignment horizontal="center" vertical="center" wrapText="1"/>
    </xf>
    <xf numFmtId="0" fontId="22" fillId="16" borderId="211" xfId="0" applyFont="1" applyFill="1" applyBorder="1" applyAlignment="1">
      <alignment horizontal="center" vertical="center" wrapText="1"/>
    </xf>
    <xf numFmtId="0" fontId="22" fillId="16" borderId="59" xfId="0" applyFont="1" applyFill="1" applyBorder="1"/>
    <xf numFmtId="0" fontId="22" fillId="16" borderId="59" xfId="0" applyFont="1" applyFill="1" applyBorder="1" applyAlignment="1">
      <alignment horizontal="center" vertical="center"/>
    </xf>
    <xf numFmtId="0" fontId="22" fillId="16" borderId="203" xfId="0" applyFont="1" applyFill="1" applyBorder="1" applyAlignment="1">
      <alignment horizontal="center" vertical="center" wrapText="1"/>
    </xf>
    <xf numFmtId="0" fontId="22" fillId="0" borderId="59" xfId="0" applyFont="1" applyBorder="1"/>
    <xf numFmtId="0" fontId="22" fillId="0" borderId="59" xfId="0" applyFont="1" applyBorder="1" applyAlignment="1">
      <alignment horizontal="center" vertical="center"/>
    </xf>
    <xf numFmtId="0" fontId="22" fillId="0" borderId="203" xfId="0" applyFont="1" applyBorder="1" applyAlignment="1">
      <alignment horizontal="center" vertical="center"/>
    </xf>
    <xf numFmtId="0" fontId="22" fillId="16" borderId="203" xfId="0" applyFont="1" applyFill="1" applyBorder="1" applyAlignment="1">
      <alignment horizontal="center" vertical="center"/>
    </xf>
    <xf numFmtId="0" fontId="22" fillId="0" borderId="59" xfId="0" applyFont="1" applyBorder="1" applyAlignment="1">
      <alignment wrapText="1"/>
    </xf>
    <xf numFmtId="0" fontId="22" fillId="0" borderId="59" xfId="0" applyFont="1" applyBorder="1" applyAlignment="1">
      <alignment horizontal="center" vertical="center" wrapText="1"/>
    </xf>
    <xf numFmtId="0" fontId="22" fillId="0" borderId="203" xfId="0" applyFont="1" applyBorder="1" applyAlignment="1">
      <alignment horizontal="center" vertical="center" wrapText="1"/>
    </xf>
    <xf numFmtId="0" fontId="22" fillId="16" borderId="84" xfId="0" applyFont="1" applyFill="1" applyBorder="1" applyAlignment="1">
      <alignment horizontal="center" vertical="center" wrapText="1"/>
    </xf>
    <xf numFmtId="0" fontId="22" fillId="16" borderId="64" xfId="0" applyFont="1" applyFill="1" applyBorder="1" applyAlignment="1">
      <alignment horizontal="center" vertical="center" wrapText="1"/>
    </xf>
    <xf numFmtId="0" fontId="22" fillId="0" borderId="64" xfId="0" applyFont="1" applyBorder="1" applyAlignment="1">
      <alignment horizontal="center" vertical="center"/>
    </xf>
    <xf numFmtId="0" fontId="22" fillId="0" borderId="64" xfId="0" applyFont="1" applyBorder="1" applyAlignment="1">
      <alignment horizontal="center" vertical="center" wrapText="1"/>
    </xf>
    <xf numFmtId="0" fontId="69" fillId="0" borderId="221" xfId="0" applyFont="1" applyBorder="1" applyAlignment="1">
      <alignment horizontal="center" vertical="center" wrapText="1"/>
    </xf>
    <xf numFmtId="0" fontId="2" fillId="0" borderId="34" xfId="0" applyFont="1" applyBorder="1" applyAlignment="1">
      <alignment horizontal="center"/>
    </xf>
    <xf numFmtId="0" fontId="2" fillId="0" borderId="0" xfId="0" applyFont="1" applyAlignment="1">
      <alignment horizontal="center"/>
    </xf>
    <xf numFmtId="0" fontId="22" fillId="0" borderId="0" xfId="0" applyFont="1"/>
    <xf numFmtId="0" fontId="22" fillId="0" borderId="1" xfId="0" applyFont="1" applyBorder="1" applyAlignment="1">
      <alignment wrapText="1"/>
    </xf>
    <xf numFmtId="0" fontId="22" fillId="0" borderId="1" xfId="0" applyFont="1" applyBorder="1"/>
    <xf numFmtId="0" fontId="0" fillId="39" borderId="21" xfId="0" applyFill="1" applyBorder="1"/>
    <xf numFmtId="0" fontId="0" fillId="0" borderId="222" xfId="0" applyBorder="1"/>
    <xf numFmtId="0" fontId="70" fillId="0" borderId="26" xfId="0" applyFont="1" applyBorder="1"/>
    <xf numFmtId="0" fontId="70" fillId="0" borderId="26" xfId="0" applyFont="1" applyBorder="1" applyAlignment="1">
      <alignment horizontal="center" vertical="center"/>
    </xf>
    <xf numFmtId="0" fontId="0" fillId="39" borderId="13" xfId="0" applyFill="1" applyBorder="1"/>
    <xf numFmtId="0" fontId="0" fillId="39" borderId="19" xfId="0" applyFill="1" applyBorder="1"/>
    <xf numFmtId="0" fontId="0" fillId="39" borderId="16" xfId="0" applyFill="1" applyBorder="1"/>
    <xf numFmtId="0" fontId="71" fillId="0" borderId="26" xfId="0" applyFont="1" applyBorder="1"/>
    <xf numFmtId="0" fontId="71" fillId="0" borderId="27" xfId="0" applyFont="1" applyBorder="1"/>
    <xf numFmtId="0" fontId="22" fillId="0" borderId="13" xfId="0" applyFont="1" applyBorder="1"/>
    <xf numFmtId="0" fontId="0" fillId="0" borderId="47" xfId="0" applyBorder="1"/>
    <xf numFmtId="0" fontId="22" fillId="0" borderId="16" xfId="0" applyFont="1" applyBorder="1"/>
    <xf numFmtId="0" fontId="0" fillId="0" borderId="39" xfId="0" applyBorder="1" applyAlignment="1">
      <alignment horizontal="center"/>
    </xf>
    <xf numFmtId="0" fontId="0" fillId="0" borderId="219" xfId="0" applyBorder="1" applyAlignment="1">
      <alignment horizontal="center" wrapText="1"/>
    </xf>
    <xf numFmtId="0" fontId="0" fillId="0" borderId="218" xfId="0" applyBorder="1" applyAlignment="1">
      <alignment horizontal="center" wrapText="1"/>
    </xf>
    <xf numFmtId="0" fontId="0" fillId="0" borderId="220" xfId="0" applyBorder="1" applyAlignment="1">
      <alignment horizontal="center" wrapText="1"/>
    </xf>
    <xf numFmtId="0" fontId="0" fillId="40" borderId="219" xfId="0" applyFill="1" applyBorder="1" applyAlignment="1">
      <alignment horizontal="center"/>
    </xf>
    <xf numFmtId="0" fontId="0" fillId="40" borderId="218" xfId="0" applyFill="1" applyBorder="1" applyAlignment="1">
      <alignment horizontal="center"/>
    </xf>
    <xf numFmtId="0" fontId="0" fillId="40" borderId="220" xfId="0" applyFill="1" applyBorder="1" applyAlignment="1">
      <alignment horizontal="center"/>
    </xf>
    <xf numFmtId="0" fontId="0" fillId="0" borderId="30" xfId="0" applyBorder="1"/>
    <xf numFmtId="0" fontId="2" fillId="0" borderId="225" xfId="0" applyFont="1" applyBorder="1" applyAlignment="1">
      <alignment horizontal="center"/>
    </xf>
    <xf numFmtId="0" fontId="2" fillId="0" borderId="223" xfId="0" applyFont="1" applyBorder="1"/>
    <xf numFmtId="0" fontId="2" fillId="0" borderId="224" xfId="0" applyFont="1" applyBorder="1"/>
    <xf numFmtId="0" fontId="2" fillId="0" borderId="224" xfId="0" applyFont="1" applyBorder="1" applyAlignment="1">
      <alignment wrapText="1"/>
    </xf>
    <xf numFmtId="0" fontId="2" fillId="0" borderId="225" xfId="0" applyFont="1" applyBorder="1"/>
    <xf numFmtId="0" fontId="2" fillId="0" borderId="40" xfId="0" applyFont="1" applyBorder="1" applyAlignment="1">
      <alignment wrapText="1"/>
    </xf>
    <xf numFmtId="0" fontId="2" fillId="0" borderId="38" xfId="0" applyFont="1" applyBorder="1"/>
    <xf numFmtId="0" fontId="2" fillId="0" borderId="226" xfId="0" applyFont="1" applyBorder="1"/>
    <xf numFmtId="0" fontId="2" fillId="4" borderId="1" xfId="0" applyFont="1" applyFill="1" applyBorder="1" applyAlignment="1">
      <alignment wrapText="1"/>
    </xf>
    <xf numFmtId="9" fontId="0" fillId="4" borderId="1" xfId="2" applyFont="1" applyFill="1" applyBorder="1"/>
    <xf numFmtId="0" fontId="8" fillId="4" borderId="1" xfId="0" applyFont="1" applyFill="1" applyBorder="1" applyAlignment="1">
      <alignment horizontal="left" vertical="center" wrapText="1"/>
    </xf>
    <xf numFmtId="0" fontId="8" fillId="4" borderId="188" xfId="0" applyFont="1" applyFill="1" applyBorder="1" applyAlignment="1">
      <alignment horizontal="left" vertical="center" wrapText="1"/>
    </xf>
    <xf numFmtId="0" fontId="0" fillId="4" borderId="165" xfId="0" applyFill="1" applyBorder="1" applyAlignment="1">
      <alignment wrapText="1"/>
    </xf>
    <xf numFmtId="0" fontId="8" fillId="4" borderId="186" xfId="0" applyFont="1" applyFill="1" applyBorder="1" applyAlignment="1">
      <alignment horizontal="left" vertical="center" wrapText="1"/>
    </xf>
    <xf numFmtId="0" fontId="8" fillId="4" borderId="187" xfId="0" applyFont="1" applyFill="1" applyBorder="1" applyAlignment="1">
      <alignment horizontal="left" vertical="center" wrapText="1"/>
    </xf>
    <xf numFmtId="0" fontId="52" fillId="4" borderId="188" xfId="0" applyFont="1" applyFill="1" applyBorder="1" applyAlignment="1">
      <alignment horizontal="left" vertical="center" wrapText="1"/>
    </xf>
    <xf numFmtId="0" fontId="8" fillId="4" borderId="5" xfId="0" applyFont="1" applyFill="1" applyBorder="1" applyAlignment="1">
      <alignment horizontal="left" vertical="center" wrapText="1"/>
    </xf>
    <xf numFmtId="9" fontId="1" fillId="4" borderId="1" xfId="2" applyFont="1" applyFill="1" applyBorder="1" applyAlignment="1">
      <alignment wrapText="1"/>
    </xf>
    <xf numFmtId="0" fontId="0" fillId="4" borderId="93" xfId="0" applyFill="1" applyBorder="1" applyAlignment="1">
      <alignment horizontal="left"/>
    </xf>
    <xf numFmtId="0" fontId="0" fillId="32" borderId="0" xfId="0" applyFill="1"/>
    <xf numFmtId="0" fontId="52" fillId="32" borderId="1" xfId="0" applyFont="1" applyFill="1" applyBorder="1" applyAlignment="1">
      <alignment horizontal="left" vertical="center"/>
    </xf>
    <xf numFmtId="0" fontId="2" fillId="32" borderId="1" xfId="0" applyFont="1" applyFill="1" applyBorder="1"/>
    <xf numFmtId="0" fontId="8" fillId="32" borderId="1" xfId="0" applyFont="1" applyFill="1" applyBorder="1" applyAlignment="1">
      <alignment horizontal="left" vertical="center"/>
    </xf>
    <xf numFmtId="0" fontId="0" fillId="32" borderId="1" xfId="0" applyFill="1" applyBorder="1"/>
    <xf numFmtId="164" fontId="0" fillId="31" borderId="173" xfId="1" applyNumberFormat="1" applyFont="1" applyFill="1" applyBorder="1"/>
    <xf numFmtId="164" fontId="0" fillId="31" borderId="189" xfId="1" applyNumberFormat="1" applyFont="1" applyFill="1" applyBorder="1"/>
    <xf numFmtId="164" fontId="0" fillId="31" borderId="189" xfId="1" applyNumberFormat="1" applyFont="1" applyFill="1" applyBorder="1" applyAlignment="1">
      <alignment horizontal="center" wrapText="1"/>
    </xf>
    <xf numFmtId="164" fontId="0" fillId="31" borderId="172" xfId="1" applyNumberFormat="1" applyFont="1" applyFill="1" applyBorder="1" applyAlignment="1">
      <alignment horizontal="center" wrapText="1"/>
    </xf>
    <xf numFmtId="164" fontId="0" fillId="31" borderId="166" xfId="1" applyNumberFormat="1" applyFont="1" applyFill="1" applyBorder="1"/>
    <xf numFmtId="164" fontId="0" fillId="31" borderId="56" xfId="1" applyNumberFormat="1" applyFont="1" applyFill="1" applyBorder="1"/>
    <xf numFmtId="164" fontId="0" fillId="31" borderId="56" xfId="1" applyNumberFormat="1" applyFont="1" applyFill="1" applyBorder="1" applyAlignment="1">
      <alignment horizontal="center" wrapText="1"/>
    </xf>
    <xf numFmtId="164" fontId="0" fillId="31" borderId="167" xfId="1" applyNumberFormat="1" applyFont="1" applyFill="1" applyBorder="1" applyAlignment="1">
      <alignment horizontal="center" wrapText="1"/>
    </xf>
    <xf numFmtId="164" fontId="0" fillId="31" borderId="166" xfId="1" applyNumberFormat="1" applyFont="1" applyFill="1" applyBorder="1" applyAlignment="1">
      <alignment horizontal="center" wrapText="1"/>
    </xf>
    <xf numFmtId="164" fontId="0" fillId="31" borderId="167" xfId="1" applyNumberFormat="1" applyFont="1" applyFill="1" applyBorder="1"/>
    <xf numFmtId="172" fontId="0" fillId="31" borderId="166" xfId="1" applyNumberFormat="1" applyFont="1" applyFill="1" applyBorder="1" applyAlignment="1">
      <alignment horizontal="center" wrapText="1"/>
    </xf>
    <xf numFmtId="172" fontId="0" fillId="31" borderId="56" xfId="1" applyNumberFormat="1" applyFont="1" applyFill="1" applyBorder="1" applyAlignment="1">
      <alignment horizontal="center" wrapText="1"/>
    </xf>
    <xf numFmtId="164" fontId="0" fillId="31" borderId="168" xfId="1" applyNumberFormat="1" applyFont="1" applyFill="1" applyBorder="1" applyAlignment="1">
      <alignment horizontal="center" wrapText="1"/>
    </xf>
    <xf numFmtId="164" fontId="0" fillId="31" borderId="169" xfId="1" applyNumberFormat="1" applyFont="1" applyFill="1" applyBorder="1" applyAlignment="1">
      <alignment horizontal="center" wrapText="1"/>
    </xf>
    <xf numFmtId="164" fontId="0" fillId="31" borderId="170" xfId="1" applyNumberFormat="1" applyFont="1" applyFill="1" applyBorder="1" applyAlignment="1">
      <alignment horizontal="center" wrapText="1"/>
    </xf>
    <xf numFmtId="0" fontId="0" fillId="31" borderId="173" xfId="0" applyFill="1" applyBorder="1" applyAlignment="1">
      <alignment wrapText="1"/>
    </xf>
    <xf numFmtId="0" fontId="0" fillId="31" borderId="189" xfId="0" applyFill="1" applyBorder="1" applyAlignment="1">
      <alignment wrapText="1"/>
    </xf>
    <xf numFmtId="0" fontId="0" fillId="31" borderId="189" xfId="0" applyFill="1" applyBorder="1" applyAlignment="1">
      <alignment horizontal="left" wrapText="1"/>
    </xf>
    <xf numFmtId="0" fontId="0" fillId="31" borderId="172" xfId="0" applyFill="1" applyBorder="1" applyAlignment="1">
      <alignment wrapText="1"/>
    </xf>
    <xf numFmtId="0" fontId="0" fillId="31" borderId="166" xfId="0" applyFill="1" applyBorder="1" applyAlignment="1">
      <alignment wrapText="1"/>
    </xf>
    <xf numFmtId="0" fontId="0" fillId="31" borderId="56" xfId="0" applyFill="1" applyBorder="1" applyAlignment="1">
      <alignment horizontal="left" wrapText="1"/>
    </xf>
    <xf numFmtId="0" fontId="0" fillId="31" borderId="167" xfId="0" applyFill="1" applyBorder="1" applyAlignment="1">
      <alignment wrapText="1"/>
    </xf>
    <xf numFmtId="0" fontId="0" fillId="31" borderId="168" xfId="0" applyFill="1" applyBorder="1" applyAlignment="1">
      <alignment wrapText="1"/>
    </xf>
    <xf numFmtId="0" fontId="0" fillId="31" borderId="169" xfId="0" applyFill="1" applyBorder="1" applyAlignment="1">
      <alignment wrapText="1"/>
    </xf>
    <xf numFmtId="0" fontId="0" fillId="31" borderId="170" xfId="0" applyFill="1" applyBorder="1" applyAlignment="1">
      <alignment wrapText="1"/>
    </xf>
    <xf numFmtId="43" fontId="2" fillId="31" borderId="173" xfId="1" applyFont="1" applyFill="1" applyBorder="1"/>
    <xf numFmtId="43" fontId="2" fillId="31" borderId="189" xfId="1" applyFont="1" applyFill="1" applyBorder="1"/>
    <xf numFmtId="43" fontId="2" fillId="31" borderId="172" xfId="1" applyFont="1" applyFill="1" applyBorder="1"/>
    <xf numFmtId="43" fontId="0" fillId="31" borderId="168" xfId="1" applyFont="1" applyFill="1" applyBorder="1" applyAlignment="1">
      <alignment horizontal="center" wrapText="1"/>
    </xf>
    <xf numFmtId="43" fontId="0" fillId="31" borderId="169" xfId="1" applyFont="1" applyFill="1" applyBorder="1" applyAlignment="1">
      <alignment horizontal="center" wrapText="1"/>
    </xf>
    <xf numFmtId="43" fontId="0" fillId="31" borderId="170" xfId="1" applyFont="1" applyFill="1" applyBorder="1" applyAlignment="1">
      <alignment horizontal="center" wrapText="1"/>
    </xf>
    <xf numFmtId="43" fontId="0" fillId="11" borderId="173" xfId="1" applyFont="1" applyFill="1" applyBorder="1"/>
    <xf numFmtId="43" fontId="0" fillId="11" borderId="189" xfId="1" applyFont="1" applyFill="1" applyBorder="1"/>
    <xf numFmtId="43" fontId="0" fillId="11" borderId="166" xfId="1" applyFont="1" applyFill="1" applyBorder="1"/>
    <xf numFmtId="43" fontId="0" fillId="11" borderId="56" xfId="1" applyFont="1" applyFill="1" applyBorder="1"/>
    <xf numFmtId="43" fontId="0" fillId="11" borderId="166" xfId="1" applyFont="1" applyFill="1" applyBorder="1" applyAlignment="1">
      <alignment horizontal="center" wrapText="1"/>
    </xf>
    <xf numFmtId="43" fontId="0" fillId="11" borderId="56" xfId="1" applyFont="1" applyFill="1" applyBorder="1" applyAlignment="1">
      <alignment horizontal="center" wrapText="1"/>
    </xf>
    <xf numFmtId="43" fontId="0" fillId="11" borderId="168" xfId="1" applyFont="1" applyFill="1" applyBorder="1" applyAlignment="1">
      <alignment horizontal="center" wrapText="1"/>
    </xf>
    <xf numFmtId="43" fontId="0" fillId="11" borderId="169" xfId="1" applyFont="1" applyFill="1" applyBorder="1" applyAlignment="1">
      <alignment horizontal="center" wrapText="1"/>
    </xf>
    <xf numFmtId="0" fontId="0" fillId="11" borderId="196" xfId="0" applyFill="1" applyBorder="1" applyAlignment="1">
      <alignment wrapText="1"/>
    </xf>
    <xf numFmtId="0" fontId="0" fillId="11" borderId="197" xfId="0" applyFill="1" applyBorder="1" applyAlignment="1">
      <alignment wrapText="1"/>
    </xf>
    <xf numFmtId="0" fontId="0" fillId="11" borderId="1" xfId="0" applyFill="1" applyBorder="1" applyAlignment="1">
      <alignment vertical="center"/>
    </xf>
    <xf numFmtId="43" fontId="2" fillId="11" borderId="196" xfId="1" applyFont="1" applyFill="1" applyBorder="1"/>
    <xf numFmtId="43" fontId="0" fillId="11" borderId="198" xfId="1" applyFont="1" applyFill="1" applyBorder="1" applyAlignment="1">
      <alignment horizontal="center" wrapText="1"/>
    </xf>
    <xf numFmtId="0" fontId="0" fillId="11" borderId="2" xfId="0" applyFill="1" applyBorder="1" applyAlignment="1">
      <alignment horizontal="center" vertical="center" wrapText="1"/>
    </xf>
    <xf numFmtId="0" fontId="0" fillId="42" borderId="0" xfId="0" applyFill="1"/>
    <xf numFmtId="43" fontId="0" fillId="4" borderId="63" xfId="1" applyFont="1" applyFill="1" applyBorder="1" applyAlignment="1">
      <alignment horizontal="left"/>
    </xf>
    <xf numFmtId="43" fontId="0" fillId="4" borderId="64" xfId="1" applyFont="1" applyFill="1" applyBorder="1" applyAlignment="1">
      <alignment horizontal="left"/>
    </xf>
    <xf numFmtId="43" fontId="0" fillId="4" borderId="80" xfId="1" applyFont="1" applyFill="1" applyBorder="1" applyAlignment="1">
      <alignment horizontal="left"/>
    </xf>
    <xf numFmtId="0" fontId="0" fillId="4" borderId="63" xfId="0" applyFill="1" applyBorder="1" applyAlignment="1">
      <alignment horizontal="left" vertical="center" wrapText="1"/>
    </xf>
    <xf numFmtId="0" fontId="0" fillId="4" borderId="64" xfId="0" applyFill="1" applyBorder="1" applyAlignment="1">
      <alignment horizontal="left" vertical="center" wrapText="1"/>
    </xf>
    <xf numFmtId="0" fontId="0" fillId="4" borderId="80" xfId="0" applyFill="1" applyBorder="1" applyAlignment="1">
      <alignment horizontal="left" vertical="center" wrapText="1"/>
    </xf>
    <xf numFmtId="0" fontId="0" fillId="4" borderId="87" xfId="0" applyFill="1" applyBorder="1" applyAlignment="1">
      <alignment horizontal="left"/>
    </xf>
    <xf numFmtId="0" fontId="0" fillId="4" borderId="88" xfId="0" applyFill="1" applyBorder="1" applyAlignment="1">
      <alignment horizontal="left"/>
    </xf>
    <xf numFmtId="0" fontId="0" fillId="4" borderId="89" xfId="0" applyFill="1" applyBorder="1" applyAlignment="1">
      <alignment horizontal="left"/>
    </xf>
    <xf numFmtId="0" fontId="11" fillId="33" borderId="174" xfId="1" applyNumberFormat="1" applyFont="1" applyFill="1" applyBorder="1" applyAlignment="1">
      <alignment horizontal="left" vertical="center"/>
    </xf>
    <xf numFmtId="0" fontId="11" fillId="33" borderId="78" xfId="1" applyNumberFormat="1" applyFont="1" applyFill="1" applyBorder="1" applyAlignment="1">
      <alignment horizontal="left" vertical="center"/>
    </xf>
    <xf numFmtId="0" fontId="11" fillId="33" borderId="79" xfId="1" applyNumberFormat="1" applyFont="1" applyFill="1" applyBorder="1" applyAlignment="1">
      <alignment horizontal="left" vertical="center"/>
    </xf>
    <xf numFmtId="0" fontId="0" fillId="0" borderId="95" xfId="0" applyBorder="1" applyAlignment="1">
      <alignment horizontal="left"/>
    </xf>
    <xf numFmtId="0" fontId="24" fillId="4" borderId="63" xfId="0" applyFont="1" applyFill="1" applyBorder="1" applyAlignment="1">
      <alignment horizontal="left" vertical="center" wrapText="1"/>
    </xf>
    <xf numFmtId="0" fontId="24" fillId="4" borderId="64" xfId="0" applyFont="1" applyFill="1" applyBorder="1" applyAlignment="1">
      <alignment horizontal="left" vertical="center" wrapText="1"/>
    </xf>
    <xf numFmtId="0" fontId="24" fillId="4" borderId="80" xfId="0" applyFont="1" applyFill="1" applyBorder="1" applyAlignment="1">
      <alignment horizontal="left" vertical="center" wrapText="1"/>
    </xf>
    <xf numFmtId="43" fontId="8" fillId="11" borderId="93" xfId="0" applyNumberFormat="1" applyFont="1" applyFill="1" applyBorder="1"/>
    <xf numFmtId="43" fontId="8" fillId="32" borderId="93" xfId="0" applyNumberFormat="1" applyFont="1" applyFill="1" applyBorder="1"/>
    <xf numFmtId="43" fontId="8" fillId="31" borderId="93" xfId="0" applyNumberFormat="1" applyFont="1" applyFill="1" applyBorder="1"/>
    <xf numFmtId="0" fontId="11" fillId="4" borderId="0" xfId="0" applyFont="1" applyFill="1"/>
    <xf numFmtId="0" fontId="11" fillId="4" borderId="0" xfId="0" applyFont="1" applyFill="1" applyAlignment="1">
      <alignment wrapText="1"/>
    </xf>
    <xf numFmtId="0" fontId="11" fillId="4" borderId="0" xfId="0" applyFont="1" applyFill="1" applyAlignment="1">
      <alignment horizontal="left"/>
    </xf>
    <xf numFmtId="43" fontId="8" fillId="5" borderId="93" xfId="2" applyNumberFormat="1" applyFont="1" applyFill="1" applyBorder="1"/>
    <xf numFmtId="169" fontId="0" fillId="11" borderId="1" xfId="2" applyNumberFormat="1" applyFont="1" applyFill="1" applyBorder="1"/>
    <xf numFmtId="10" fontId="0" fillId="4" borderId="0" xfId="2" applyNumberFormat="1" applyFont="1" applyFill="1"/>
    <xf numFmtId="44" fontId="0" fillId="4" borderId="1" xfId="0" applyNumberFormat="1" applyFill="1" applyBorder="1"/>
    <xf numFmtId="44" fontId="2" fillId="4" borderId="1" xfId="0" applyNumberFormat="1" applyFont="1" applyFill="1" applyBorder="1" applyAlignment="1">
      <alignment wrapText="1"/>
    </xf>
    <xf numFmtId="43" fontId="0" fillId="4" borderId="1" xfId="1" applyFont="1" applyFill="1" applyBorder="1" applyAlignment="1">
      <alignment wrapText="1"/>
    </xf>
    <xf numFmtId="176" fontId="0" fillId="14" borderId="85" xfId="0" applyNumberFormat="1" applyFill="1" applyBorder="1"/>
    <xf numFmtId="0" fontId="8" fillId="4" borderId="3" xfId="0" applyFont="1" applyFill="1" applyBorder="1" applyAlignment="1">
      <alignment vertical="center" wrapText="1"/>
    </xf>
    <xf numFmtId="43" fontId="0" fillId="9" borderId="1" xfId="1" applyFont="1" applyFill="1" applyBorder="1" applyAlignment="1">
      <alignment wrapText="1"/>
    </xf>
    <xf numFmtId="0" fontId="0" fillId="4" borderId="17" xfId="0" applyFill="1" applyBorder="1"/>
    <xf numFmtId="0" fontId="0" fillId="4" borderId="18" xfId="0" applyFill="1" applyBorder="1"/>
    <xf numFmtId="0" fontId="0" fillId="4" borderId="4" xfId="0" applyFill="1" applyBorder="1"/>
    <xf numFmtId="43" fontId="0" fillId="9" borderId="1" xfId="0" applyNumberFormat="1" applyFill="1" applyBorder="1"/>
    <xf numFmtId="175" fontId="0" fillId="4" borderId="1" xfId="0" applyNumberFormat="1" applyFill="1" applyBorder="1"/>
    <xf numFmtId="43" fontId="8" fillId="5" borderId="99" xfId="2" applyNumberFormat="1" applyFont="1" applyFill="1" applyBorder="1"/>
    <xf numFmtId="43" fontId="8" fillId="5" borderId="104" xfId="2" applyNumberFormat="1" applyFont="1" applyFill="1" applyBorder="1"/>
    <xf numFmtId="43" fontId="8" fillId="5" borderId="95" xfId="0" applyNumberFormat="1" applyFont="1" applyFill="1" applyBorder="1"/>
    <xf numFmtId="0" fontId="0" fillId="16" borderId="6" xfId="0" applyFill="1" applyBorder="1"/>
    <xf numFmtId="43" fontId="0" fillId="16" borderId="45" xfId="0" applyNumberFormat="1" applyFill="1" applyBorder="1" applyAlignment="1">
      <alignment wrapText="1"/>
    </xf>
    <xf numFmtId="0" fontId="0" fillId="16" borderId="18" xfId="0" applyFill="1" applyBorder="1"/>
    <xf numFmtId="0" fontId="0" fillId="16" borderId="2" xfId="0" applyFill="1" applyBorder="1" applyAlignment="1">
      <alignment wrapText="1"/>
    </xf>
    <xf numFmtId="43" fontId="0" fillId="16" borderId="2" xfId="0" applyNumberFormat="1" applyFill="1" applyBorder="1" applyAlignment="1">
      <alignment wrapText="1"/>
    </xf>
    <xf numFmtId="43" fontId="2" fillId="16" borderId="2" xfId="0" applyNumberFormat="1" applyFont="1" applyFill="1" applyBorder="1" applyAlignment="1">
      <alignment wrapText="1"/>
    </xf>
    <xf numFmtId="43" fontId="0" fillId="16" borderId="7" xfId="0" applyNumberFormat="1" applyFill="1" applyBorder="1" applyAlignment="1">
      <alignment wrapText="1"/>
    </xf>
    <xf numFmtId="0" fontId="0" fillId="5" borderId="17" xfId="0" applyFill="1" applyBorder="1"/>
    <xf numFmtId="0" fontId="0" fillId="5" borderId="43" xfId="0" applyFill="1" applyBorder="1" applyAlignment="1">
      <alignment horizontal="left" wrapText="1"/>
    </xf>
    <xf numFmtId="43" fontId="8" fillId="5" borderId="102" xfId="2" applyNumberFormat="1" applyFont="1" applyFill="1" applyBorder="1"/>
    <xf numFmtId="0" fontId="0" fillId="5" borderId="6" xfId="0" applyFill="1" applyBorder="1"/>
    <xf numFmtId="0" fontId="0" fillId="5" borderId="0" xfId="0" applyFill="1" applyAlignment="1">
      <alignment horizontal="left" wrapText="1"/>
    </xf>
    <xf numFmtId="0" fontId="0" fillId="5" borderId="18" xfId="0" applyFill="1" applyBorder="1"/>
    <xf numFmtId="0" fontId="0" fillId="5" borderId="2" xfId="0" applyFill="1" applyBorder="1" applyAlignment="1">
      <alignment horizontal="left" wrapText="1"/>
    </xf>
    <xf numFmtId="43" fontId="8" fillId="5" borderId="101" xfId="2" applyNumberFormat="1" applyFont="1" applyFill="1" applyBorder="1"/>
    <xf numFmtId="43" fontId="8" fillId="5" borderId="101" xfId="0" applyNumberFormat="1" applyFont="1" applyFill="1" applyBorder="1"/>
    <xf numFmtId="0" fontId="11" fillId="33" borderId="76" xfId="0" applyFont="1" applyFill="1" applyBorder="1" applyAlignment="1">
      <alignment wrapText="1"/>
    </xf>
    <xf numFmtId="0" fontId="11" fillId="33" borderId="60" xfId="0" applyFont="1" applyFill="1" applyBorder="1" applyAlignment="1">
      <alignment wrapText="1"/>
    </xf>
    <xf numFmtId="0" fontId="11" fillId="33" borderId="60" xfId="1" applyNumberFormat="1" applyFont="1" applyFill="1" applyBorder="1" applyAlignment="1">
      <alignment horizontal="center" vertical="center"/>
    </xf>
    <xf numFmtId="0" fontId="11" fillId="33" borderId="83" xfId="1" applyNumberFormat="1" applyFont="1" applyFill="1" applyBorder="1" applyAlignment="1">
      <alignment horizontal="left" vertical="center"/>
    </xf>
    <xf numFmtId="0" fontId="11" fillId="33" borderId="84" xfId="1" applyNumberFormat="1" applyFont="1" applyFill="1" applyBorder="1" applyAlignment="1">
      <alignment horizontal="left" vertical="center"/>
    </xf>
    <xf numFmtId="0" fontId="11" fillId="33" borderId="86" xfId="1" applyNumberFormat="1" applyFont="1" applyFill="1" applyBorder="1" applyAlignment="1">
      <alignment horizontal="left" vertical="center"/>
    </xf>
    <xf numFmtId="0" fontId="0" fillId="4" borderId="63" xfId="0" applyFill="1" applyBorder="1" applyAlignment="1">
      <alignment horizontal="left" vertical="center"/>
    </xf>
    <xf numFmtId="0" fontId="0" fillId="4" borderId="93" xfId="0" applyFill="1" applyBorder="1" applyAlignment="1">
      <alignment horizontal="center" wrapText="1"/>
    </xf>
    <xf numFmtId="0" fontId="0" fillId="4" borderId="114" xfId="0" applyFill="1" applyBorder="1"/>
    <xf numFmtId="0" fontId="0" fillId="31" borderId="230" xfId="0" applyFill="1" applyBorder="1" applyAlignment="1">
      <alignment wrapText="1"/>
    </xf>
    <xf numFmtId="0" fontId="0" fillId="31" borderId="231" xfId="0" applyFill="1" applyBorder="1" applyAlignment="1">
      <alignment wrapText="1"/>
    </xf>
    <xf numFmtId="0" fontId="0" fillId="31" borderId="229" xfId="0" applyFill="1" applyBorder="1" applyAlignment="1">
      <alignment wrapText="1"/>
    </xf>
    <xf numFmtId="164" fontId="0" fillId="31" borderId="230" xfId="1" applyNumberFormat="1" applyFont="1" applyFill="1" applyBorder="1"/>
    <xf numFmtId="164" fontId="0" fillId="31" borderId="231" xfId="1" applyNumberFormat="1" applyFont="1" applyFill="1" applyBorder="1"/>
    <xf numFmtId="164" fontId="0" fillId="31" borderId="231" xfId="1" applyNumberFormat="1" applyFont="1" applyFill="1" applyBorder="1" applyAlignment="1">
      <alignment horizontal="center" wrapText="1"/>
    </xf>
    <xf numFmtId="172" fontId="0" fillId="31" borderId="231" xfId="1" applyNumberFormat="1" applyFont="1" applyFill="1" applyBorder="1" applyAlignment="1">
      <alignment horizontal="center" wrapText="1"/>
    </xf>
    <xf numFmtId="164" fontId="0" fillId="31" borderId="229" xfId="1" applyNumberFormat="1" applyFont="1" applyFill="1" applyBorder="1" applyAlignment="1">
      <alignment horizontal="center" wrapText="1"/>
    </xf>
    <xf numFmtId="43" fontId="2" fillId="31" borderId="230" xfId="1" applyFont="1" applyFill="1" applyBorder="1"/>
    <xf numFmtId="43" fontId="0" fillId="31" borderId="229" xfId="1" applyFont="1" applyFill="1" applyBorder="1" applyAlignment="1">
      <alignment horizontal="center" wrapText="1"/>
    </xf>
    <xf numFmtId="0" fontId="2" fillId="11" borderId="4" xfId="0" applyFont="1" applyFill="1" applyBorder="1"/>
    <xf numFmtId="0" fontId="2" fillId="11" borderId="41" xfId="0" applyFont="1" applyFill="1" applyBorder="1"/>
    <xf numFmtId="0" fontId="2" fillId="11" borderId="8" xfId="0" applyFont="1" applyFill="1" applyBorder="1"/>
    <xf numFmtId="0" fontId="0" fillId="0" borderId="232" xfId="0" applyBorder="1" applyAlignment="1">
      <alignment horizontal="center" wrapText="1"/>
    </xf>
    <xf numFmtId="0" fontId="2" fillId="0" borderId="233" xfId="0" applyFont="1" applyBorder="1" applyAlignment="1">
      <alignment horizontal="left" wrapText="1"/>
    </xf>
    <xf numFmtId="164" fontId="0" fillId="16" borderId="234" xfId="1" applyNumberFormat="1" applyFont="1" applyFill="1" applyBorder="1" applyAlignment="1">
      <alignment horizontal="center" wrapText="1"/>
    </xf>
    <xf numFmtId="0" fontId="0" fillId="16" borderId="235" xfId="0" applyFill="1" applyBorder="1" applyAlignment="1">
      <alignment horizontal="center" wrapText="1"/>
    </xf>
    <xf numFmtId="0" fontId="0" fillId="0" borderId="235" xfId="0" applyBorder="1" applyAlignment="1">
      <alignment horizontal="center" wrapText="1"/>
    </xf>
    <xf numFmtId="0" fontId="0" fillId="16" borderId="233" xfId="0" applyFill="1" applyBorder="1" applyAlignment="1">
      <alignment horizontal="center" wrapText="1"/>
    </xf>
    <xf numFmtId="0" fontId="27" fillId="16" borderId="204" xfId="0" applyFont="1" applyFill="1" applyBorder="1" applyAlignment="1">
      <alignment vertical="center" wrapText="1"/>
    </xf>
    <xf numFmtId="0" fontId="22" fillId="16" borderId="205" xfId="0" applyFont="1" applyFill="1" applyBorder="1" applyAlignment="1">
      <alignment horizontal="center" vertical="center"/>
    </xf>
    <xf numFmtId="0" fontId="22" fillId="16" borderId="206" xfId="0" applyFont="1" applyFill="1" applyBorder="1" applyAlignment="1">
      <alignment horizontal="center" vertical="center" wrapText="1"/>
    </xf>
    <xf numFmtId="0" fontId="22" fillId="16" borderId="221" xfId="0" applyFont="1" applyFill="1" applyBorder="1" applyAlignment="1">
      <alignment horizontal="center" vertical="center" wrapText="1"/>
    </xf>
    <xf numFmtId="0" fontId="0" fillId="16" borderId="204" xfId="0" applyFill="1" applyBorder="1" applyAlignment="1">
      <alignment horizontal="center" wrapText="1"/>
    </xf>
    <xf numFmtId="0" fontId="0" fillId="16" borderId="205" xfId="0" applyFill="1" applyBorder="1" applyAlignment="1">
      <alignment horizontal="center" wrapText="1"/>
    </xf>
    <xf numFmtId="0" fontId="0" fillId="16" borderId="206" xfId="0" applyFill="1" applyBorder="1" applyAlignment="1">
      <alignment horizontal="center" wrapText="1"/>
    </xf>
    <xf numFmtId="0" fontId="2" fillId="31" borderId="190" xfId="0" applyFont="1" applyFill="1" applyBorder="1"/>
    <xf numFmtId="0" fontId="2" fillId="31" borderId="191" xfId="0" applyFont="1" applyFill="1" applyBorder="1"/>
    <xf numFmtId="0" fontId="2" fillId="31" borderId="192" xfId="0" applyFont="1" applyFill="1" applyBorder="1"/>
    <xf numFmtId="0" fontId="0" fillId="31" borderId="18" xfId="0" applyFill="1" applyBorder="1" applyAlignment="1">
      <alignment vertical="center" wrapText="1"/>
    </xf>
    <xf numFmtId="0" fontId="2" fillId="31" borderId="4" xfId="0" applyFont="1" applyFill="1" applyBorder="1"/>
    <xf numFmtId="164" fontId="0" fillId="0" borderId="235" xfId="0" applyNumberFormat="1" applyBorder="1" applyAlignment="1">
      <alignment horizontal="center" wrapText="1"/>
    </xf>
    <xf numFmtId="169" fontId="0" fillId="4" borderId="0" xfId="2" applyNumberFormat="1" applyFont="1" applyFill="1" applyBorder="1" applyAlignment="1">
      <alignment horizontal="center" wrapText="1"/>
    </xf>
    <xf numFmtId="43" fontId="52" fillId="4" borderId="0" xfId="0" applyNumberFormat="1" applyFont="1" applyFill="1"/>
    <xf numFmtId="43" fontId="8" fillId="4" borderId="0" xfId="0" applyNumberFormat="1" applyFont="1" applyFill="1"/>
    <xf numFmtId="9" fontId="0" fillId="4" borderId="0" xfId="0" applyNumberFormat="1" applyFill="1"/>
    <xf numFmtId="9" fontId="0" fillId="8" borderId="0" xfId="0" applyNumberFormat="1" applyFill="1"/>
    <xf numFmtId="0" fontId="0" fillId="11" borderId="236" xfId="0" applyFill="1" applyBorder="1" applyAlignment="1">
      <alignment wrapText="1"/>
    </xf>
    <xf numFmtId="0" fontId="0" fillId="11" borderId="237" xfId="0" applyFill="1" applyBorder="1" applyAlignment="1">
      <alignment wrapText="1"/>
    </xf>
    <xf numFmtId="43" fontId="0" fillId="11" borderId="172" xfId="1" applyFont="1" applyFill="1" applyBorder="1" applyAlignment="1">
      <alignment horizontal="center" wrapText="1"/>
    </xf>
    <xf numFmtId="43" fontId="0" fillId="11" borderId="167" xfId="1" applyFont="1" applyFill="1" applyBorder="1" applyAlignment="1">
      <alignment horizontal="center" wrapText="1"/>
    </xf>
    <xf numFmtId="43" fontId="0" fillId="11" borderId="167" xfId="1" applyFont="1" applyFill="1" applyBorder="1"/>
    <xf numFmtId="43" fontId="0" fillId="11" borderId="170" xfId="1" applyFont="1" applyFill="1" applyBorder="1" applyAlignment="1">
      <alignment horizontal="center" wrapText="1"/>
    </xf>
    <xf numFmtId="43" fontId="2" fillId="11" borderId="236" xfId="1" applyFont="1" applyFill="1" applyBorder="1"/>
    <xf numFmtId="43" fontId="0" fillId="11" borderId="238" xfId="1" applyFont="1" applyFill="1" applyBorder="1" applyAlignment="1">
      <alignment horizontal="center" wrapText="1"/>
    </xf>
    <xf numFmtId="0" fontId="0" fillId="11" borderId="7" xfId="0" applyFill="1" applyBorder="1" applyAlignment="1">
      <alignment horizontal="center" vertical="center" wrapText="1"/>
    </xf>
    <xf numFmtId="0" fontId="0" fillId="0" borderId="34" xfId="0" applyBorder="1" applyAlignment="1">
      <alignment horizontal="center" wrapText="1"/>
    </xf>
    <xf numFmtId="0" fontId="2" fillId="0" borderId="239" xfId="0" applyFont="1" applyBorder="1" applyAlignment="1">
      <alignment horizontal="left" wrapText="1"/>
    </xf>
    <xf numFmtId="164" fontId="0" fillId="16" borderId="240" xfId="1" applyNumberFormat="1" applyFont="1" applyFill="1" applyBorder="1" applyAlignment="1">
      <alignment horizontal="center" wrapText="1"/>
    </xf>
    <xf numFmtId="0" fontId="0" fillId="16" borderId="241" xfId="0" applyFill="1" applyBorder="1" applyAlignment="1">
      <alignment horizontal="center" wrapText="1"/>
    </xf>
    <xf numFmtId="0" fontId="0" fillId="0" borderId="241" xfId="0" applyBorder="1" applyAlignment="1">
      <alignment horizontal="center" wrapText="1"/>
    </xf>
    <xf numFmtId="164" fontId="0" fillId="0" borderId="241" xfId="0" applyNumberFormat="1" applyBorder="1" applyAlignment="1">
      <alignment horizontal="center" wrapText="1"/>
    </xf>
    <xf numFmtId="0" fontId="0" fillId="16" borderId="239" xfId="0" applyFill="1" applyBorder="1" applyAlignment="1">
      <alignment horizontal="center" wrapText="1"/>
    </xf>
    <xf numFmtId="9" fontId="0" fillId="4" borderId="93" xfId="2" applyFont="1" applyFill="1" applyBorder="1" applyAlignment="1">
      <alignment horizontal="center"/>
    </xf>
    <xf numFmtId="166" fontId="8" fillId="12" borderId="93" xfId="1" applyNumberFormat="1" applyFont="1" applyFill="1" applyBorder="1" applyAlignment="1" applyProtection="1">
      <alignment horizontal="center" vertical="center" wrapText="1"/>
      <protection locked="0"/>
    </xf>
    <xf numFmtId="178" fontId="0" fillId="4" borderId="0" xfId="0" applyNumberFormat="1" applyFill="1"/>
    <xf numFmtId="0" fontId="0" fillId="0" borderId="94" xfId="0" applyBorder="1" applyAlignment="1">
      <alignment horizontal="left" wrapText="1"/>
    </xf>
    <xf numFmtId="43" fontId="0" fillId="4" borderId="94" xfId="0" applyNumberFormat="1" applyFill="1" applyBorder="1"/>
    <xf numFmtId="9" fontId="0" fillId="0" borderId="94" xfId="0" applyNumberFormat="1" applyBorder="1" applyAlignment="1">
      <alignment horizontal="left"/>
    </xf>
    <xf numFmtId="0" fontId="0" fillId="4" borderId="139" xfId="0" applyFill="1" applyBorder="1"/>
    <xf numFmtId="0" fontId="0" fillId="0" borderId="140" xfId="0" applyBorder="1" applyAlignment="1">
      <alignment horizontal="left" wrapText="1"/>
    </xf>
    <xf numFmtId="43" fontId="0" fillId="4" borderId="140" xfId="0" applyNumberFormat="1" applyFill="1" applyBorder="1"/>
    <xf numFmtId="9" fontId="0" fillId="0" borderId="140" xfId="0" applyNumberFormat="1" applyBorder="1" applyAlignment="1">
      <alignment horizontal="left"/>
    </xf>
    <xf numFmtId="169" fontId="0" fillId="4" borderId="93" xfId="2" applyNumberFormat="1" applyFont="1" applyFill="1" applyBorder="1"/>
    <xf numFmtId="166" fontId="0" fillId="4" borderId="93" xfId="0" applyNumberFormat="1" applyFill="1" applyBorder="1"/>
    <xf numFmtId="169" fontId="0" fillId="4" borderId="126" xfId="2" applyNumberFormat="1" applyFont="1" applyFill="1" applyBorder="1"/>
    <xf numFmtId="169" fontId="0" fillId="0" borderId="140" xfId="2" applyNumberFormat="1" applyFont="1" applyFill="1" applyBorder="1"/>
    <xf numFmtId="169" fontId="0" fillId="0" borderId="101" xfId="2" applyNumberFormat="1" applyFont="1" applyFill="1" applyBorder="1"/>
    <xf numFmtId="166" fontId="0" fillId="4" borderId="94" xfId="1" applyNumberFormat="1" applyFont="1" applyFill="1" applyBorder="1"/>
    <xf numFmtId="166" fontId="0" fillId="4" borderId="178" xfId="1" applyNumberFormat="1" applyFont="1" applyFill="1" applyBorder="1"/>
    <xf numFmtId="9" fontId="0" fillId="4" borderId="101" xfId="2" applyFont="1" applyFill="1" applyBorder="1"/>
    <xf numFmtId="9" fontId="0" fillId="16" borderId="101" xfId="2" applyFont="1" applyFill="1" applyBorder="1"/>
    <xf numFmtId="166" fontId="0" fillId="4" borderId="101" xfId="1" applyNumberFormat="1" applyFont="1" applyFill="1" applyBorder="1"/>
    <xf numFmtId="173" fontId="0" fillId="4" borderId="0" xfId="5" applyNumberFormat="1" applyFont="1" applyFill="1"/>
    <xf numFmtId="0" fontId="52" fillId="32" borderId="185" xfId="0" applyFont="1" applyFill="1" applyBorder="1"/>
    <xf numFmtId="0" fontId="2" fillId="11" borderId="0" xfId="0" applyFont="1" applyFill="1"/>
    <xf numFmtId="0" fontId="2" fillId="31" borderId="0" xfId="0" applyFont="1" applyFill="1"/>
    <xf numFmtId="166" fontId="0" fillId="34" borderId="59" xfId="1" applyNumberFormat="1" applyFont="1" applyFill="1" applyBorder="1"/>
    <xf numFmtId="43" fontId="8" fillId="5" borderId="112" xfId="2" applyNumberFormat="1" applyFont="1" applyFill="1" applyBorder="1"/>
    <xf numFmtId="43" fontId="8" fillId="5" borderId="113" xfId="2" applyNumberFormat="1" applyFont="1" applyFill="1" applyBorder="1"/>
    <xf numFmtId="166" fontId="0" fillId="14" borderId="177" xfId="2" applyNumberFormat="1" applyFont="1" applyFill="1" applyBorder="1"/>
    <xf numFmtId="166" fontId="0" fillId="14" borderId="85" xfId="1" applyNumberFormat="1" applyFont="1" applyFill="1" applyBorder="1"/>
    <xf numFmtId="166" fontId="0" fillId="14" borderId="90" xfId="2" applyNumberFormat="1" applyFont="1" applyFill="1" applyBorder="1"/>
    <xf numFmtId="0" fontId="8" fillId="4" borderId="5" xfId="0" applyFont="1" applyFill="1" applyBorder="1" applyAlignment="1">
      <alignment vertical="center" wrapText="1"/>
    </xf>
    <xf numFmtId="44" fontId="0" fillId="14" borderId="176" xfId="0" applyNumberFormat="1" applyFill="1" applyBorder="1"/>
    <xf numFmtId="0" fontId="0" fillId="14" borderId="176" xfId="0" applyFill="1" applyBorder="1" applyAlignment="1">
      <alignment horizontal="left"/>
    </xf>
    <xf numFmtId="0" fontId="0" fillId="14" borderId="2" xfId="0" applyFill="1" applyBorder="1" applyAlignment="1">
      <alignment horizontal="left"/>
    </xf>
    <xf numFmtId="0" fontId="0" fillId="14" borderId="7" xfId="0" applyFill="1" applyBorder="1" applyAlignment="1">
      <alignment horizontal="left"/>
    </xf>
    <xf numFmtId="166" fontId="0" fillId="14" borderId="85" xfId="2" applyNumberFormat="1" applyFont="1" applyFill="1" applyBorder="1"/>
    <xf numFmtId="9" fontId="2" fillId="14" borderId="83" xfId="2" applyFont="1" applyFill="1" applyBorder="1"/>
    <xf numFmtId="44" fontId="0" fillId="14" borderId="85" xfId="5" applyFont="1" applyFill="1" applyBorder="1"/>
    <xf numFmtId="9" fontId="0" fillId="4" borderId="4" xfId="2" applyFont="1" applyFill="1" applyBorder="1" applyAlignment="1">
      <alignment wrapText="1"/>
    </xf>
    <xf numFmtId="9" fontId="0" fillId="4" borderId="8" xfId="2" applyFont="1" applyFill="1" applyBorder="1" applyAlignment="1">
      <alignment wrapText="1"/>
    </xf>
    <xf numFmtId="176" fontId="2" fillId="14" borderId="176" xfId="0" applyNumberFormat="1" applyFont="1" applyFill="1" applyBorder="1"/>
    <xf numFmtId="0" fontId="2" fillId="4" borderId="5" xfId="0" applyFont="1" applyFill="1" applyBorder="1" applyAlignment="1">
      <alignment wrapText="1"/>
    </xf>
    <xf numFmtId="176" fontId="2" fillId="14" borderId="136" xfId="0" applyNumberFormat="1" applyFont="1" applyFill="1" applyBorder="1"/>
    <xf numFmtId="0" fontId="0" fillId="9" borderId="2" xfId="0" applyFill="1" applyBorder="1"/>
    <xf numFmtId="0" fontId="0" fillId="9" borderId="2" xfId="0" applyFill="1" applyBorder="1" applyAlignment="1">
      <alignment horizontal="left" wrapText="1"/>
    </xf>
    <xf numFmtId="9" fontId="0" fillId="9" borderId="2" xfId="0" applyNumberFormat="1" applyFill="1" applyBorder="1"/>
    <xf numFmtId="0" fontId="0" fillId="9" borderId="2" xfId="0" applyFill="1" applyBorder="1" applyAlignment="1">
      <alignment wrapText="1"/>
    </xf>
    <xf numFmtId="0" fontId="0" fillId="9" borderId="0" xfId="0" applyFill="1"/>
    <xf numFmtId="166" fontId="0" fillId="12" borderId="121" xfId="1" applyNumberFormat="1" applyFont="1" applyFill="1" applyBorder="1" applyAlignment="1" applyProtection="1">
      <protection locked="0"/>
    </xf>
    <xf numFmtId="166" fontId="0" fillId="12" borderId="122" xfId="1" applyNumberFormat="1" applyFont="1" applyFill="1" applyBorder="1" applyAlignment="1" applyProtection="1">
      <protection locked="0"/>
    </xf>
    <xf numFmtId="166" fontId="0" fillId="12" borderId="120" xfId="1" applyNumberFormat="1" applyFont="1" applyFill="1" applyBorder="1" applyAlignment="1" applyProtection="1">
      <protection locked="0"/>
    </xf>
    <xf numFmtId="14" fontId="0" fillId="0" borderId="2" xfId="0" applyNumberFormat="1" applyBorder="1" applyAlignment="1">
      <alignment wrapText="1"/>
    </xf>
    <xf numFmtId="14" fontId="0" fillId="9" borderId="2" xfId="0" applyNumberFormat="1" applyFill="1" applyBorder="1" applyAlignment="1">
      <alignment wrapText="1"/>
    </xf>
    <xf numFmtId="0" fontId="0" fillId="4" borderId="3" xfId="0" applyFill="1" applyBorder="1" applyAlignment="1">
      <alignment wrapText="1"/>
    </xf>
    <xf numFmtId="44" fontId="0" fillId="14" borderId="150" xfId="0" applyNumberFormat="1" applyFill="1" applyBorder="1"/>
    <xf numFmtId="166" fontId="0" fillId="34" borderId="135" xfId="1" applyNumberFormat="1" applyFont="1" applyFill="1" applyBorder="1"/>
    <xf numFmtId="43" fontId="2" fillId="14" borderId="150" xfId="1" applyFont="1" applyFill="1" applyBorder="1"/>
    <xf numFmtId="0" fontId="0" fillId="4" borderId="78" xfId="0" applyFill="1" applyBorder="1" applyAlignment="1">
      <alignment wrapText="1"/>
    </xf>
    <xf numFmtId="0" fontId="0" fillId="4" borderId="84" xfId="0" applyFill="1" applyBorder="1" applyAlignment="1">
      <alignment wrapText="1"/>
    </xf>
    <xf numFmtId="0" fontId="0" fillId="4" borderId="88" xfId="0" applyFill="1" applyBorder="1" applyAlignment="1">
      <alignment wrapText="1"/>
    </xf>
    <xf numFmtId="0" fontId="2" fillId="4" borderId="2" xfId="0" applyFont="1" applyFill="1" applyBorder="1" applyAlignment="1">
      <alignment wrapText="1"/>
    </xf>
    <xf numFmtId="0" fontId="0" fillId="4" borderId="64" xfId="0" applyFill="1" applyBorder="1" applyAlignment="1">
      <alignment wrapText="1"/>
    </xf>
    <xf numFmtId="0" fontId="0" fillId="4" borderId="66" xfId="0" applyFill="1" applyBorder="1" applyAlignment="1">
      <alignment wrapText="1"/>
    </xf>
    <xf numFmtId="9" fontId="2" fillId="14" borderId="174" xfId="2" applyFont="1" applyFill="1" applyBorder="1"/>
    <xf numFmtId="0" fontId="0" fillId="4" borderId="4" xfId="0" applyFill="1" applyBorder="1" applyAlignment="1">
      <alignment wrapText="1"/>
    </xf>
    <xf numFmtId="0" fontId="0" fillId="4" borderId="1" xfId="0" applyFill="1" applyBorder="1" applyAlignment="1">
      <alignment wrapText="1"/>
    </xf>
    <xf numFmtId="0" fontId="11" fillId="33" borderId="147" xfId="0" applyFont="1" applyFill="1" applyBorder="1" applyAlignment="1">
      <alignment wrapText="1"/>
    </xf>
    <xf numFmtId="0" fontId="11" fillId="33" borderId="147" xfId="0" applyFont="1" applyFill="1" applyBorder="1"/>
    <xf numFmtId="44" fontId="0" fillId="14" borderId="59" xfId="5" applyFont="1" applyFill="1" applyBorder="1"/>
    <xf numFmtId="44" fontId="0" fillId="34" borderId="59" xfId="5" applyFont="1" applyFill="1" applyBorder="1"/>
    <xf numFmtId="0" fontId="0" fillId="4" borderId="68" xfId="0" applyFill="1" applyBorder="1" applyAlignment="1">
      <alignment wrapText="1"/>
    </xf>
    <xf numFmtId="166" fontId="0" fillId="14" borderId="68" xfId="1" applyNumberFormat="1" applyFont="1" applyFill="1" applyBorder="1"/>
    <xf numFmtId="176" fontId="0" fillId="14" borderId="59" xfId="5" applyNumberFormat="1" applyFont="1" applyFill="1" applyBorder="1"/>
    <xf numFmtId="176" fontId="0" fillId="14" borderId="73" xfId="5" applyNumberFormat="1" applyFont="1" applyFill="1" applyBorder="1"/>
    <xf numFmtId="0" fontId="0" fillId="0" borderId="103" xfId="0" applyBorder="1" applyAlignment="1">
      <alignment horizontal="center"/>
    </xf>
    <xf numFmtId="0" fontId="0" fillId="0" borderId="96" xfId="0" applyBorder="1" applyAlignment="1">
      <alignment horizontal="center"/>
    </xf>
    <xf numFmtId="44" fontId="0" fillId="4" borderId="0" xfId="0" applyNumberFormat="1" applyFill="1"/>
    <xf numFmtId="0" fontId="8" fillId="0" borderId="96" xfId="0" applyFont="1" applyBorder="1" applyAlignment="1">
      <alignment horizontal="left"/>
    </xf>
    <xf numFmtId="0" fontId="2" fillId="0" borderId="224" xfId="0" applyFont="1" applyBorder="1" applyAlignment="1">
      <alignment horizontal="center"/>
    </xf>
    <xf numFmtId="0" fontId="0" fillId="15" borderId="0" xfId="0" applyFill="1"/>
    <xf numFmtId="0" fontId="8" fillId="15" borderId="193" xfId="0" applyFont="1" applyFill="1" applyBorder="1"/>
    <xf numFmtId="43" fontId="8" fillId="15" borderId="93" xfId="2" applyNumberFormat="1" applyFont="1" applyFill="1" applyBorder="1"/>
    <xf numFmtId="43" fontId="8" fillId="15" borderId="93" xfId="0" applyNumberFormat="1" applyFont="1" applyFill="1" applyBorder="1"/>
    <xf numFmtId="0" fontId="0" fillId="15" borderId="193" xfId="0" applyFill="1" applyBorder="1" applyAlignment="1">
      <alignment horizontal="left" wrapText="1"/>
    </xf>
    <xf numFmtId="176" fontId="0" fillId="4" borderId="0" xfId="5" applyNumberFormat="1" applyFont="1" applyFill="1" applyBorder="1"/>
    <xf numFmtId="166" fontId="0" fillId="4" borderId="73" xfId="0" applyNumberFormat="1" applyFill="1" applyBorder="1" applyAlignment="1">
      <alignment horizontal="center" vertical="center" wrapText="1"/>
    </xf>
    <xf numFmtId="14" fontId="47" fillId="35" borderId="5" xfId="0" applyNumberFormat="1" applyFont="1" applyFill="1" applyBorder="1" applyAlignment="1">
      <alignment vertical="center" wrapText="1"/>
    </xf>
    <xf numFmtId="0" fontId="0" fillId="4" borderId="0" xfId="0" applyFill="1" applyAlignment="1">
      <alignment horizontal="left" vertical="center"/>
    </xf>
    <xf numFmtId="0" fontId="10" fillId="4" borderId="0" xfId="0" applyFont="1" applyFill="1" applyAlignment="1">
      <alignment horizontal="left" vertical="center" wrapText="1"/>
    </xf>
    <xf numFmtId="14" fontId="47" fillId="15" borderId="1" xfId="0" applyNumberFormat="1" applyFont="1" applyFill="1" applyBorder="1" applyAlignment="1">
      <alignment vertical="center" wrapText="1"/>
    </xf>
    <xf numFmtId="0" fontId="50" fillId="40" borderId="108" xfId="0" applyFont="1" applyFill="1" applyBorder="1" applyAlignment="1" applyProtection="1">
      <alignment horizontal="center" vertical="center" wrapText="1"/>
      <protection locked="0"/>
    </xf>
    <xf numFmtId="0" fontId="50" fillId="40" borderId="101" xfId="0" applyFont="1" applyFill="1" applyBorder="1" applyAlignment="1" applyProtection="1">
      <alignment horizontal="center" vertical="center" wrapText="1"/>
      <protection locked="0"/>
    </xf>
    <xf numFmtId="0" fontId="77" fillId="37" borderId="0" xfId="0" applyFont="1" applyFill="1"/>
    <xf numFmtId="0" fontId="2" fillId="4" borderId="204" xfId="0" applyFont="1" applyFill="1" applyBorder="1"/>
    <xf numFmtId="0" fontId="2" fillId="4" borderId="204" xfId="0" applyFont="1" applyFill="1" applyBorder="1" applyAlignment="1">
      <alignment horizontal="left" wrapText="1"/>
    </xf>
    <xf numFmtId="0" fontId="2" fillId="4" borderId="205" xfId="0" applyFont="1" applyFill="1" applyBorder="1" applyAlignment="1">
      <alignment horizontal="left" wrapText="1"/>
    </xf>
    <xf numFmtId="0" fontId="2" fillId="4" borderId="206" xfId="0" applyFont="1" applyFill="1" applyBorder="1" applyAlignment="1">
      <alignment horizontal="left" wrapText="1"/>
    </xf>
    <xf numFmtId="0" fontId="0" fillId="4" borderId="202" xfId="0" applyFill="1" applyBorder="1" applyAlignment="1">
      <alignment horizontal="center" wrapText="1"/>
    </xf>
    <xf numFmtId="0" fontId="0" fillId="4" borderId="59" xfId="0" applyFill="1" applyBorder="1" applyAlignment="1">
      <alignment horizontal="center" wrapText="1"/>
    </xf>
    <xf numFmtId="0" fontId="0" fillId="4" borderId="203" xfId="0" applyFill="1" applyBorder="1" applyAlignment="1">
      <alignment horizontal="center" wrapText="1"/>
    </xf>
    <xf numFmtId="0" fontId="0" fillId="4" borderId="273" xfId="0" applyFill="1" applyBorder="1" applyAlignment="1">
      <alignment horizontal="center" wrapText="1"/>
    </xf>
    <xf numFmtId="0" fontId="0" fillId="4" borderId="68" xfId="0" applyFill="1" applyBorder="1" applyAlignment="1">
      <alignment horizontal="center" wrapText="1"/>
    </xf>
    <xf numFmtId="0" fontId="0" fillId="36" borderId="202" xfId="0" applyFill="1" applyBorder="1" applyAlignment="1">
      <alignment horizontal="center" wrapText="1"/>
    </xf>
    <xf numFmtId="0" fontId="0" fillId="36" borderId="59" xfId="0" applyFill="1" applyBorder="1" applyAlignment="1">
      <alignment horizontal="center" wrapText="1"/>
    </xf>
    <xf numFmtId="0" fontId="0" fillId="31" borderId="273" xfId="0" applyFill="1" applyBorder="1" applyAlignment="1">
      <alignment horizontal="center" wrapText="1"/>
    </xf>
    <xf numFmtId="0" fontId="0" fillId="31" borderId="68" xfId="0" applyFill="1" applyBorder="1" applyAlignment="1">
      <alignment horizontal="center" wrapText="1"/>
    </xf>
    <xf numFmtId="0" fontId="0" fillId="31" borderId="202" xfId="0" applyFill="1" applyBorder="1" applyAlignment="1">
      <alignment horizontal="center" wrapText="1"/>
    </xf>
    <xf numFmtId="0" fontId="0" fillId="31" borderId="59" xfId="0" applyFill="1" applyBorder="1" applyAlignment="1">
      <alignment horizontal="center" wrapText="1"/>
    </xf>
    <xf numFmtId="0" fontId="0" fillId="11" borderId="202" xfId="0" applyFill="1" applyBorder="1" applyAlignment="1">
      <alignment horizontal="center" wrapText="1"/>
    </xf>
    <xf numFmtId="0" fontId="0" fillId="11" borderId="59" xfId="0" applyFill="1" applyBorder="1" applyAlignment="1">
      <alignment horizontal="center" wrapText="1"/>
    </xf>
    <xf numFmtId="0" fontId="0" fillId="11" borderId="274" xfId="0" applyFill="1" applyBorder="1" applyAlignment="1">
      <alignment horizontal="center" wrapText="1"/>
    </xf>
    <xf numFmtId="0" fontId="0" fillId="11" borderId="73" xfId="0" applyFill="1" applyBorder="1" applyAlignment="1">
      <alignment horizontal="center" wrapText="1"/>
    </xf>
    <xf numFmtId="0" fontId="0" fillId="31" borderId="274" xfId="0" applyFill="1" applyBorder="1" applyAlignment="1">
      <alignment horizontal="center" wrapText="1"/>
    </xf>
    <xf numFmtId="0" fontId="0" fillId="31" borderId="73" xfId="0" applyFill="1" applyBorder="1" applyAlignment="1">
      <alignment horizontal="center" wrapText="1"/>
    </xf>
    <xf numFmtId="0" fontId="0" fillId="32" borderId="273" xfId="0" applyFill="1" applyBorder="1" applyAlignment="1">
      <alignment horizontal="center" wrapText="1"/>
    </xf>
    <xf numFmtId="0" fontId="0" fillId="32" borderId="68" xfId="0" applyFill="1" applyBorder="1" applyAlignment="1">
      <alignment horizontal="center" wrapText="1"/>
    </xf>
    <xf numFmtId="0" fontId="0" fillId="45" borderId="202" xfId="0" applyFill="1" applyBorder="1" applyAlignment="1">
      <alignment horizontal="center" wrapText="1"/>
    </xf>
    <xf numFmtId="0" fontId="0" fillId="45" borderId="59" xfId="0" applyFill="1" applyBorder="1" applyAlignment="1">
      <alignment horizontal="center" wrapText="1"/>
    </xf>
    <xf numFmtId="0" fontId="0" fillId="45" borderId="203" xfId="0" applyFill="1" applyBorder="1" applyAlignment="1">
      <alignment horizontal="center" wrapText="1"/>
    </xf>
    <xf numFmtId="0" fontId="22" fillId="4" borderId="203" xfId="0" applyFont="1" applyFill="1" applyBorder="1"/>
    <xf numFmtId="0" fontId="22" fillId="4" borderId="276" xfId="0" applyFont="1" applyFill="1" applyBorder="1" applyAlignment="1">
      <alignment wrapText="1"/>
    </xf>
    <xf numFmtId="0" fontId="22" fillId="45" borderId="203" xfId="0" applyFont="1" applyFill="1" applyBorder="1"/>
    <xf numFmtId="0" fontId="0" fillId="36" borderId="203" xfId="0" applyFill="1" applyBorder="1" applyAlignment="1">
      <alignment horizontal="center" wrapText="1"/>
    </xf>
    <xf numFmtId="0" fontId="0" fillId="32" borderId="276" xfId="0" applyFill="1" applyBorder="1" applyAlignment="1">
      <alignment horizontal="center" wrapText="1"/>
    </xf>
    <xf numFmtId="0" fontId="0" fillId="31" borderId="276" xfId="0" applyFill="1" applyBorder="1" applyAlignment="1">
      <alignment horizontal="center" wrapText="1"/>
    </xf>
    <xf numFmtId="0" fontId="0" fillId="31" borderId="203" xfId="0" applyFill="1" applyBorder="1" applyAlignment="1">
      <alignment horizontal="center" wrapText="1"/>
    </xf>
    <xf numFmtId="0" fontId="0" fillId="31" borderId="278" xfId="0" applyFill="1" applyBorder="1" applyAlignment="1">
      <alignment horizontal="center" wrapText="1"/>
    </xf>
    <xf numFmtId="0" fontId="0" fillId="4" borderId="276" xfId="0" applyFill="1" applyBorder="1" applyAlignment="1">
      <alignment horizontal="center" wrapText="1"/>
    </xf>
    <xf numFmtId="0" fontId="0" fillId="11" borderId="203" xfId="0" applyFill="1" applyBorder="1" applyAlignment="1">
      <alignment horizontal="center" wrapText="1"/>
    </xf>
    <xf numFmtId="0" fontId="0" fillId="11" borderId="278" xfId="0" applyFill="1" applyBorder="1" applyAlignment="1">
      <alignment horizontal="center" wrapText="1"/>
    </xf>
    <xf numFmtId="0" fontId="69" fillId="4" borderId="206" xfId="0" applyFont="1" applyFill="1" applyBorder="1"/>
    <xf numFmtId="9" fontId="0" fillId="0" borderId="0" xfId="0" applyNumberFormat="1"/>
    <xf numFmtId="166" fontId="0" fillId="12" borderId="93" xfId="1" applyNumberFormat="1" applyFont="1" applyFill="1" applyBorder="1" applyAlignment="1" applyProtection="1">
      <alignment horizontal="left"/>
      <protection locked="0"/>
    </xf>
    <xf numFmtId="166" fontId="0" fillId="12" borderId="0" xfId="1" applyNumberFormat="1" applyFont="1" applyFill="1" applyBorder="1" applyAlignment="1" applyProtection="1">
      <protection locked="0"/>
    </xf>
    <xf numFmtId="0" fontId="22" fillId="31" borderId="278" xfId="0" applyFont="1" applyFill="1" applyBorder="1" applyAlignment="1">
      <alignment wrapText="1"/>
    </xf>
    <xf numFmtId="14" fontId="47" fillId="35" borderId="18" xfId="0" applyNumberFormat="1" applyFont="1" applyFill="1" applyBorder="1" applyAlignment="1">
      <alignment vertical="center" wrapText="1"/>
    </xf>
    <xf numFmtId="0" fontId="66" fillId="35" borderId="1" xfId="0" applyFont="1" applyFill="1" applyBorder="1" applyAlignment="1">
      <alignment vertical="center" wrapText="1"/>
    </xf>
    <xf numFmtId="0" fontId="47" fillId="35" borderId="7" xfId="0" applyFont="1" applyFill="1" applyBorder="1" applyAlignment="1">
      <alignment horizontal="center" vertical="center" wrapText="1"/>
    </xf>
    <xf numFmtId="14" fontId="47" fillId="15" borderId="4" xfId="0" applyNumberFormat="1" applyFont="1" applyFill="1" applyBorder="1" applyAlignment="1">
      <alignment vertical="center" wrapText="1"/>
    </xf>
    <xf numFmtId="0" fontId="47" fillId="8" borderId="8" xfId="0" applyFont="1" applyFill="1" applyBorder="1" applyAlignment="1">
      <alignment horizontal="center" vertical="center" wrapText="1"/>
    </xf>
    <xf numFmtId="14" fontId="47" fillId="38" borderId="5" xfId="0" applyNumberFormat="1" applyFont="1" applyFill="1" applyBorder="1" applyAlignment="1">
      <alignment vertical="center" wrapText="1"/>
    </xf>
    <xf numFmtId="14" fontId="47" fillId="8" borderId="1" xfId="0" applyNumberFormat="1" applyFont="1" applyFill="1" applyBorder="1" applyAlignment="1">
      <alignment vertical="center" wrapText="1"/>
    </xf>
    <xf numFmtId="0" fontId="47" fillId="15" borderId="8" xfId="0" applyFont="1" applyFill="1" applyBorder="1" applyAlignment="1">
      <alignment horizontal="center" vertical="center" wrapText="1"/>
    </xf>
    <xf numFmtId="0" fontId="0" fillId="46" borderId="235" xfId="0" applyFill="1" applyBorder="1" applyAlignment="1">
      <alignment horizontal="center" wrapText="1"/>
    </xf>
    <xf numFmtId="0" fontId="22" fillId="36" borderId="209" xfId="0" applyFont="1" applyFill="1" applyBorder="1" applyAlignment="1">
      <alignment wrapText="1"/>
    </xf>
    <xf numFmtId="0" fontId="0" fillId="36" borderId="207" xfId="0" applyFill="1" applyBorder="1" applyAlignment="1">
      <alignment horizontal="center" wrapText="1"/>
    </xf>
    <xf numFmtId="0" fontId="0" fillId="36" borderId="208" xfId="0" applyFill="1" applyBorder="1" applyAlignment="1">
      <alignment horizontal="center" wrapText="1"/>
    </xf>
    <xf numFmtId="0" fontId="8" fillId="36" borderId="208" xfId="0" applyFont="1" applyFill="1" applyBorder="1" applyAlignment="1">
      <alignment horizontal="center" wrapText="1"/>
    </xf>
    <xf numFmtId="0" fontId="0" fillId="36" borderId="209" xfId="0" applyFill="1" applyBorder="1" applyAlignment="1">
      <alignment horizontal="center" wrapText="1"/>
    </xf>
    <xf numFmtId="0" fontId="22" fillId="16" borderId="205" xfId="0" applyFont="1" applyFill="1" applyBorder="1" applyAlignment="1">
      <alignment horizontal="left" vertical="center"/>
    </xf>
    <xf numFmtId="0" fontId="22" fillId="0" borderId="3" xfId="0" applyFont="1" applyBorder="1"/>
    <xf numFmtId="0" fontId="22" fillId="39" borderId="1" xfId="0" applyFont="1" applyFill="1" applyBorder="1"/>
    <xf numFmtId="0" fontId="22" fillId="39" borderId="19" xfId="0" applyFont="1" applyFill="1" applyBorder="1"/>
    <xf numFmtId="0" fontId="0" fillId="4" borderId="30" xfId="0" applyFill="1" applyBorder="1"/>
    <xf numFmtId="0" fontId="0" fillId="0" borderId="36" xfId="0" applyBorder="1"/>
    <xf numFmtId="0" fontId="2" fillId="0" borderId="36" xfId="0" applyFont="1" applyBorder="1" applyAlignment="1">
      <alignment horizontal="center" vertical="center"/>
    </xf>
    <xf numFmtId="0" fontId="70" fillId="11" borderId="26" xfId="0" applyFont="1" applyFill="1" applyBorder="1"/>
    <xf numFmtId="0" fontId="70" fillId="31" borderId="26" xfId="0" applyFont="1" applyFill="1" applyBorder="1"/>
    <xf numFmtId="0" fontId="0" fillId="31" borderId="21" xfId="0" applyFill="1" applyBorder="1"/>
    <xf numFmtId="0" fontId="22" fillId="32" borderId="1" xfId="0" applyFont="1" applyFill="1" applyBorder="1"/>
    <xf numFmtId="0" fontId="70" fillId="32" borderId="26" xfId="0" applyFont="1" applyFill="1" applyBorder="1"/>
    <xf numFmtId="0" fontId="0" fillId="0" borderId="40" xfId="0" applyBorder="1"/>
    <xf numFmtId="0" fontId="0" fillId="39" borderId="40" xfId="0" applyFill="1" applyBorder="1"/>
    <xf numFmtId="0" fontId="70" fillId="0" borderId="27" xfId="0" applyFont="1" applyBorder="1"/>
    <xf numFmtId="0" fontId="70" fillId="0" borderId="0" xfId="0" applyFont="1"/>
    <xf numFmtId="0" fontId="70" fillId="0" borderId="0" xfId="0" applyFont="1" applyAlignment="1">
      <alignment horizontal="center" vertical="center"/>
    </xf>
    <xf numFmtId="0" fontId="22" fillId="4" borderId="0" xfId="0" applyFont="1" applyFill="1"/>
    <xf numFmtId="0" fontId="26" fillId="4" borderId="0" xfId="0" applyFont="1" applyFill="1" applyAlignment="1">
      <alignment vertical="center" wrapText="1"/>
    </xf>
    <xf numFmtId="0" fontId="22" fillId="4" borderId="0" xfId="0" applyFont="1" applyFill="1" applyAlignment="1">
      <alignment horizontal="left" vertical="center"/>
    </xf>
    <xf numFmtId="0" fontId="8" fillId="4" borderId="0" xfId="0" applyFont="1" applyFill="1" applyAlignment="1">
      <alignment horizontal="left" vertical="center"/>
    </xf>
    <xf numFmtId="0" fontId="0" fillId="4" borderId="6" xfId="0" applyFill="1" applyBorder="1" applyAlignment="1">
      <alignment horizontal="left" vertical="center"/>
    </xf>
    <xf numFmtId="0" fontId="8" fillId="4" borderId="6" xfId="0" applyFont="1" applyFill="1" applyBorder="1" applyAlignment="1">
      <alignment horizontal="left" vertical="center"/>
    </xf>
    <xf numFmtId="14" fontId="0" fillId="4" borderId="1" xfId="0" applyNumberFormat="1" applyFill="1" applyBorder="1" applyAlignment="1">
      <alignment horizontal="left" vertical="top" wrapText="1"/>
    </xf>
    <xf numFmtId="0" fontId="0" fillId="4" borderId="111" xfId="0" applyFill="1" applyBorder="1"/>
    <xf numFmtId="0" fontId="8" fillId="4" borderId="112" xfId="0" applyFont="1" applyFill="1" applyBorder="1"/>
    <xf numFmtId="0" fontId="50" fillId="40" borderId="93" xfId="0" applyFont="1" applyFill="1" applyBorder="1" applyAlignment="1" applyProtection="1">
      <alignment horizontal="center"/>
      <protection locked="0"/>
    </xf>
    <xf numFmtId="0" fontId="50" fillId="40" borderId="101" xfId="0" applyFont="1" applyFill="1" applyBorder="1" applyAlignment="1" applyProtection="1">
      <alignment horizontal="center"/>
      <protection locked="0"/>
    </xf>
    <xf numFmtId="0" fontId="11" fillId="33" borderId="281" xfId="0" applyFont="1" applyFill="1" applyBorder="1"/>
    <xf numFmtId="0" fontId="8" fillId="47" borderId="93" xfId="0" applyFont="1" applyFill="1" applyBorder="1"/>
    <xf numFmtId="0" fontId="0" fillId="47" borderId="93" xfId="0" applyFill="1" applyBorder="1" applyAlignment="1">
      <alignment horizontal="center"/>
    </xf>
    <xf numFmtId="0" fontId="8" fillId="47" borderId="104" xfId="0" applyFont="1" applyFill="1" applyBorder="1"/>
    <xf numFmtId="9" fontId="0" fillId="4" borderId="101" xfId="2" applyFont="1" applyFill="1" applyBorder="1" applyAlignment="1">
      <alignment horizontal="center"/>
    </xf>
    <xf numFmtId="0" fontId="8" fillId="4" borderId="94" xfId="0" applyFont="1" applyFill="1" applyBorder="1" applyAlignment="1">
      <alignment horizontal="center"/>
    </xf>
    <xf numFmtId="0" fontId="8" fillId="0" borderId="93" xfId="0" applyFont="1" applyBorder="1" applyAlignment="1">
      <alignment horizontal="left" wrapText="1"/>
    </xf>
    <xf numFmtId="0" fontId="8" fillId="4" borderId="93" xfId="0" applyFont="1" applyFill="1" applyBorder="1" applyAlignment="1">
      <alignment horizontal="center"/>
    </xf>
    <xf numFmtId="43" fontId="0" fillId="16" borderId="0" xfId="1" applyFont="1" applyFill="1" applyAlignment="1">
      <alignment wrapText="1"/>
    </xf>
    <xf numFmtId="43" fontId="0" fillId="16" borderId="2" xfId="1" applyFont="1" applyFill="1" applyBorder="1" applyAlignment="1">
      <alignment wrapText="1"/>
    </xf>
    <xf numFmtId="0" fontId="8" fillId="0" borderId="25" xfId="0" applyFont="1" applyBorder="1" applyAlignment="1">
      <alignment horizontal="left"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8" fillId="0" borderId="12" xfId="0" applyFont="1" applyBorder="1" applyAlignment="1">
      <alignment horizontal="left"/>
    </xf>
    <xf numFmtId="0" fontId="25" fillId="0" borderId="13" xfId="0" quotePrefix="1" applyFont="1" applyBorder="1" applyAlignment="1">
      <alignment vertical="center"/>
    </xf>
    <xf numFmtId="0" fontId="8" fillId="0" borderId="14" xfId="0" applyFont="1" applyBorder="1" applyAlignment="1">
      <alignment horizontal="left"/>
    </xf>
    <xf numFmtId="0" fontId="25" fillId="0" borderId="19" xfId="0" quotePrefix="1" applyFont="1" applyBorder="1" applyAlignment="1">
      <alignment vertical="center"/>
    </xf>
    <xf numFmtId="0" fontId="25" fillId="0" borderId="16" xfId="0" quotePrefix="1" applyFont="1" applyBorder="1" applyAlignment="1">
      <alignment vertical="center"/>
    </xf>
    <xf numFmtId="0" fontId="22" fillId="45" borderId="206" xfId="0" applyFont="1" applyFill="1" applyBorder="1"/>
    <xf numFmtId="0" fontId="0" fillId="45" borderId="204" xfId="0" applyFill="1" applyBorder="1" applyAlignment="1">
      <alignment horizontal="center" wrapText="1"/>
    </xf>
    <xf numFmtId="0" fontId="0" fillId="45" borderId="205" xfId="0" applyFill="1" applyBorder="1" applyAlignment="1">
      <alignment horizontal="center" wrapText="1"/>
    </xf>
    <xf numFmtId="0" fontId="0" fillId="45" borderId="206" xfId="0" applyFill="1" applyBorder="1" applyAlignment="1">
      <alignment horizontal="center" wrapText="1"/>
    </xf>
    <xf numFmtId="0" fontId="0" fillId="4" borderId="112" xfId="0" applyFill="1" applyBorder="1" applyAlignment="1">
      <alignment horizontal="center"/>
    </xf>
    <xf numFmtId="0" fontId="8" fillId="4" borderId="113" xfId="0" applyFont="1" applyFill="1" applyBorder="1"/>
    <xf numFmtId="14" fontId="0" fillId="4" borderId="1" xfId="0" applyNumberFormat="1" applyFill="1" applyBorder="1" applyAlignment="1">
      <alignment horizontal="left" vertical="top"/>
    </xf>
    <xf numFmtId="0" fontId="51" fillId="13" borderId="1" xfId="0" applyFont="1" applyFill="1" applyBorder="1"/>
    <xf numFmtId="0" fontId="0" fillId="12" borderId="1" xfId="0" applyFill="1" applyBorder="1" applyAlignment="1">
      <alignment horizontal="left" wrapText="1"/>
    </xf>
    <xf numFmtId="0" fontId="0" fillId="2" borderId="1" xfId="0" applyFill="1" applyBorder="1" applyAlignment="1">
      <alignment horizontal="left" wrapText="1"/>
    </xf>
    <xf numFmtId="0" fontId="8" fillId="20" borderId="1" xfId="0" applyFont="1" applyFill="1" applyBorder="1"/>
    <xf numFmtId="0" fontId="8" fillId="4" borderId="0" xfId="0" applyFont="1" applyFill="1"/>
    <xf numFmtId="166" fontId="2" fillId="4" borderId="98" xfId="1" applyNumberFormat="1" applyFont="1" applyFill="1" applyBorder="1" applyAlignment="1" applyProtection="1">
      <alignment wrapText="1"/>
    </xf>
    <xf numFmtId="166" fontId="2" fillId="4" borderId="116" xfId="1" applyNumberFormat="1" applyFont="1" applyFill="1" applyBorder="1" applyAlignment="1" applyProtection="1"/>
    <xf numFmtId="166" fontId="2" fillId="4" borderId="116" xfId="1" applyNumberFormat="1" applyFont="1" applyFill="1" applyBorder="1" applyAlignment="1" applyProtection="1">
      <alignment horizontal="center" wrapText="1"/>
    </xf>
    <xf numFmtId="166" fontId="2" fillId="4" borderId="284" xfId="1" applyNumberFormat="1" applyFont="1" applyFill="1" applyBorder="1" applyAlignment="1" applyProtection="1">
      <alignment horizontal="center" wrapText="1"/>
    </xf>
    <xf numFmtId="166" fontId="2" fillId="4" borderId="1" xfId="1" applyNumberFormat="1" applyFont="1" applyFill="1" applyBorder="1" applyAlignment="1" applyProtection="1">
      <alignment horizontal="center" wrapText="1"/>
    </xf>
    <xf numFmtId="166" fontId="50" fillId="34" borderId="114" xfId="1" applyNumberFormat="1" applyFont="1" applyFill="1" applyBorder="1" applyAlignment="1" applyProtection="1"/>
    <xf numFmtId="166" fontId="50" fillId="34" borderId="94" xfId="1" applyNumberFormat="1" applyFont="1" applyFill="1" applyBorder="1" applyAlignment="1" applyProtection="1"/>
    <xf numFmtId="1" fontId="50" fillId="34" borderId="94" xfId="1" applyNumberFormat="1" applyFont="1" applyFill="1" applyBorder="1" applyAlignment="1" applyProtection="1">
      <alignment horizontal="center"/>
    </xf>
    <xf numFmtId="1" fontId="50" fillId="34" borderId="283" xfId="1" applyNumberFormat="1" applyFont="1" applyFill="1" applyBorder="1" applyAlignment="1" applyProtection="1">
      <alignment horizontal="center"/>
    </xf>
    <xf numFmtId="1" fontId="50" fillId="34" borderId="124" xfId="1" applyNumberFormat="1" applyFont="1" applyFill="1" applyBorder="1" applyAlignment="1" applyProtection="1">
      <alignment horizontal="center"/>
    </xf>
    <xf numFmtId="166" fontId="50" fillId="34" borderId="103" xfId="1" applyNumberFormat="1" applyFont="1" applyFill="1" applyBorder="1" applyAlignment="1" applyProtection="1"/>
    <xf numFmtId="166" fontId="50" fillId="34" borderId="93" xfId="1" applyNumberFormat="1" applyFont="1" applyFill="1" applyBorder="1" applyAlignment="1" applyProtection="1"/>
    <xf numFmtId="1" fontId="50" fillId="34" borderId="93" xfId="1" applyNumberFormat="1" applyFont="1" applyFill="1" applyBorder="1" applyAlignment="1" applyProtection="1">
      <alignment horizontal="center"/>
    </xf>
    <xf numFmtId="1" fontId="50" fillId="34" borderId="108" xfId="1" applyNumberFormat="1" applyFont="1" applyFill="1" applyBorder="1" applyAlignment="1" applyProtection="1">
      <alignment horizontal="center"/>
    </xf>
    <xf numFmtId="1" fontId="50" fillId="34" borderId="282" xfId="1" applyNumberFormat="1" applyFont="1" applyFill="1" applyBorder="1" applyAlignment="1" applyProtection="1">
      <alignment horizontal="center"/>
    </xf>
    <xf numFmtId="166" fontId="50" fillId="34" borderId="96" xfId="1" applyNumberFormat="1" applyFont="1" applyFill="1" applyBorder="1" applyAlignment="1" applyProtection="1"/>
    <xf numFmtId="166" fontId="50" fillId="34" borderId="101" xfId="1" applyNumberFormat="1" applyFont="1" applyFill="1" applyBorder="1" applyAlignment="1" applyProtection="1"/>
    <xf numFmtId="1" fontId="50" fillId="34" borderId="101" xfId="1" applyNumberFormat="1" applyFont="1" applyFill="1" applyBorder="1" applyAlignment="1" applyProtection="1">
      <alignment horizontal="center"/>
    </xf>
    <xf numFmtId="1" fontId="50" fillId="34" borderId="105" xfId="1" applyNumberFormat="1" applyFont="1" applyFill="1" applyBorder="1" applyAlignment="1" applyProtection="1">
      <alignment horizontal="center"/>
    </xf>
    <xf numFmtId="1" fontId="50" fillId="34" borderId="123" xfId="1" applyNumberFormat="1" applyFont="1" applyFill="1" applyBorder="1" applyAlignment="1" applyProtection="1">
      <alignment horizontal="center"/>
    </xf>
    <xf numFmtId="0" fontId="11" fillId="13" borderId="17" xfId="0" applyFont="1" applyFill="1" applyBorder="1"/>
    <xf numFmtId="0" fontId="12" fillId="13" borderId="43" xfId="0" applyFont="1" applyFill="1" applyBorder="1"/>
    <xf numFmtId="0" fontId="12" fillId="13" borderId="44" xfId="0" applyFont="1" applyFill="1" applyBorder="1"/>
    <xf numFmtId="0" fontId="8" fillId="4" borderId="43" xfId="0" applyFont="1" applyFill="1" applyBorder="1" applyAlignment="1">
      <alignment horizontal="left"/>
    </xf>
    <xf numFmtId="0" fontId="8" fillId="15" borderId="43" xfId="0" applyFont="1" applyFill="1" applyBorder="1"/>
    <xf numFmtId="0" fontId="65" fillId="4" borderId="4" xfId="0" applyFont="1" applyFill="1" applyBorder="1" applyAlignment="1">
      <alignment wrapText="1"/>
    </xf>
    <xf numFmtId="0" fontId="65" fillId="4" borderId="41" xfId="0" applyFont="1" applyFill="1" applyBorder="1" applyAlignment="1">
      <alignment wrapText="1"/>
    </xf>
    <xf numFmtId="0" fontId="52" fillId="4" borderId="41" xfId="0" applyFont="1" applyFill="1" applyBorder="1" applyAlignment="1">
      <alignment horizontal="center" wrapText="1"/>
    </xf>
    <xf numFmtId="0" fontId="52" fillId="4" borderId="1" xfId="0" applyFont="1" applyFill="1" applyBorder="1" applyAlignment="1">
      <alignment wrapText="1"/>
    </xf>
    <xf numFmtId="0" fontId="0" fillId="5" borderId="125" xfId="0" applyFill="1" applyBorder="1" applyAlignment="1">
      <alignment wrapText="1"/>
    </xf>
    <xf numFmtId="0" fontId="0" fillId="5" borderId="126" xfId="0" applyFill="1" applyBorder="1" applyAlignment="1">
      <alignment wrapText="1"/>
    </xf>
    <xf numFmtId="0" fontId="0" fillId="5" borderId="127" xfId="0" applyFill="1" applyBorder="1" applyAlignment="1">
      <alignment wrapText="1"/>
    </xf>
    <xf numFmtId="0" fontId="0" fillId="5" borderId="127" xfId="0" applyFill="1" applyBorder="1" applyAlignment="1">
      <alignment horizontal="center" wrapText="1"/>
    </xf>
    <xf numFmtId="0" fontId="0" fillId="5" borderId="126" xfId="0" applyFill="1" applyBorder="1" applyAlignment="1">
      <alignment horizontal="center" wrapText="1"/>
    </xf>
    <xf numFmtId="0" fontId="0" fillId="5" borderId="128" xfId="0" applyFill="1" applyBorder="1" applyAlignment="1">
      <alignment horizontal="center" wrapText="1"/>
    </xf>
    <xf numFmtId="166" fontId="0" fillId="5" borderId="5" xfId="1" applyNumberFormat="1" applyFont="1" applyFill="1" applyBorder="1" applyAlignment="1" applyProtection="1"/>
    <xf numFmtId="166" fontId="0" fillId="4" borderId="114" xfId="1" applyNumberFormat="1" applyFont="1" applyFill="1" applyBorder="1" applyAlignment="1" applyProtection="1"/>
    <xf numFmtId="166" fontId="0" fillId="14" borderId="124" xfId="1" applyNumberFormat="1" applyFont="1" applyFill="1" applyBorder="1" applyAlignment="1" applyProtection="1"/>
    <xf numFmtId="166" fontId="0" fillId="4" borderId="103" xfId="1" applyNumberFormat="1" applyFont="1" applyFill="1" applyBorder="1" applyAlignment="1" applyProtection="1"/>
    <xf numFmtId="166" fontId="0" fillId="4" borderId="96" xfId="1" applyNumberFormat="1" applyFont="1" applyFill="1" applyBorder="1" applyAlignment="1" applyProtection="1"/>
    <xf numFmtId="166" fontId="0" fillId="14" borderId="123" xfId="1" applyNumberFormat="1" applyFont="1" applyFill="1" applyBorder="1" applyAlignment="1" applyProtection="1"/>
    <xf numFmtId="0" fontId="21" fillId="34" borderId="0" xfId="0" applyFont="1" applyFill="1"/>
    <xf numFmtId="0" fontId="52" fillId="34" borderId="0" xfId="0" applyFont="1" applyFill="1" applyAlignment="1">
      <alignment horizontal="left" wrapText="1"/>
    </xf>
    <xf numFmtId="0" fontId="0" fillId="34" borderId="0" xfId="0" applyFill="1" applyAlignment="1">
      <alignment horizontal="center"/>
    </xf>
    <xf numFmtId="0" fontId="0" fillId="34" borderId="1" xfId="0" applyFill="1" applyBorder="1" applyAlignment="1">
      <alignment horizontal="center"/>
    </xf>
    <xf numFmtId="0" fontId="0" fillId="29" borderId="0" xfId="0" applyFill="1" applyAlignment="1">
      <alignment horizontal="center"/>
    </xf>
    <xf numFmtId="0" fontId="0" fillId="34" borderId="26" xfId="0" applyFill="1" applyBorder="1"/>
    <xf numFmtId="0" fontId="25" fillId="34" borderId="26" xfId="0" quotePrefix="1" applyFont="1" applyFill="1" applyBorder="1" applyAlignment="1">
      <alignment vertical="center"/>
    </xf>
    <xf numFmtId="0" fontId="25" fillId="34" borderId="42" xfId="0" quotePrefix="1" applyFont="1" applyFill="1" applyBorder="1" applyAlignment="1">
      <alignment vertical="center"/>
    </xf>
    <xf numFmtId="0" fontId="25" fillId="34" borderId="1" xfId="0" quotePrefix="1" applyFont="1" applyFill="1" applyBorder="1" applyAlignment="1">
      <alignment vertical="center"/>
    </xf>
    <xf numFmtId="0" fontId="25" fillId="34" borderId="4" xfId="0" quotePrefix="1" applyFont="1" applyFill="1" applyBorder="1" applyAlignment="1">
      <alignment vertical="center"/>
    </xf>
    <xf numFmtId="0" fontId="0" fillId="5" borderId="13" xfId="0" applyFill="1" applyBorder="1"/>
    <xf numFmtId="0" fontId="0" fillId="34" borderId="19" xfId="0" applyFill="1" applyBorder="1"/>
    <xf numFmtId="0" fontId="25" fillId="34" borderId="19" xfId="0" quotePrefix="1" applyFont="1" applyFill="1" applyBorder="1" applyAlignment="1">
      <alignment vertical="center"/>
    </xf>
    <xf numFmtId="0" fontId="25" fillId="34" borderId="15" xfId="0" quotePrefix="1" applyFont="1" applyFill="1" applyBorder="1" applyAlignment="1">
      <alignment vertical="center"/>
    </xf>
    <xf numFmtId="0" fontId="0" fillId="5" borderId="16" xfId="0" applyFill="1" applyBorder="1"/>
    <xf numFmtId="0" fontId="0" fillId="34" borderId="5" xfId="0" applyFill="1" applyBorder="1"/>
    <xf numFmtId="0" fontId="25" fillId="34" borderId="5" xfId="0" quotePrefix="1" applyFont="1" applyFill="1" applyBorder="1" applyAlignment="1">
      <alignment vertical="center"/>
    </xf>
    <xf numFmtId="0" fontId="25" fillId="34" borderId="18" xfId="0" quotePrefix="1" applyFont="1" applyFill="1" applyBorder="1" applyAlignment="1">
      <alignment vertical="center"/>
    </xf>
    <xf numFmtId="0" fontId="0" fillId="5" borderId="23" xfId="0" applyFill="1" applyBorder="1"/>
    <xf numFmtId="0" fontId="0" fillId="34" borderId="21" xfId="0" applyFill="1" applyBorder="1"/>
    <xf numFmtId="0" fontId="25" fillId="34" borderId="21" xfId="0" quotePrefix="1" applyFont="1" applyFill="1" applyBorder="1" applyAlignment="1">
      <alignment vertical="center"/>
    </xf>
    <xf numFmtId="0" fontId="25" fillId="34" borderId="17" xfId="0" quotePrefix="1" applyFont="1" applyFill="1" applyBorder="1" applyAlignment="1">
      <alignment vertical="center"/>
    </xf>
    <xf numFmtId="0" fontId="0" fillId="16" borderId="109" xfId="0" applyFill="1" applyBorder="1" applyAlignment="1">
      <alignment horizontal="center"/>
    </xf>
    <xf numFmtId="0" fontId="0" fillId="16" borderId="109" xfId="0" applyFill="1" applyBorder="1"/>
    <xf numFmtId="0" fontId="0" fillId="16" borderId="0" xfId="0" applyFill="1"/>
    <xf numFmtId="0" fontId="0" fillId="16" borderId="110" xfId="0" applyFill="1" applyBorder="1" applyAlignment="1">
      <alignment horizontal="center"/>
    </xf>
    <xf numFmtId="0" fontId="17" fillId="4" borderId="1" xfId="0" applyFont="1" applyFill="1" applyBorder="1" applyAlignment="1" applyProtection="1">
      <alignment wrapText="1"/>
      <protection hidden="1"/>
    </xf>
    <xf numFmtId="0" fontId="19" fillId="0" borderId="1" xfId="0" applyFont="1" applyBorder="1" applyAlignment="1">
      <alignment horizontal="left"/>
    </xf>
    <xf numFmtId="0" fontId="19" fillId="0" borderId="5" xfId="0" applyFont="1" applyBorder="1" applyAlignment="1">
      <alignment horizontal="left"/>
    </xf>
    <xf numFmtId="0" fontId="40" fillId="0" borderId="1" xfId="0" applyFont="1" applyBorder="1"/>
    <xf numFmtId="0" fontId="20" fillId="4" borderId="0" xfId="3" applyFill="1"/>
    <xf numFmtId="0" fontId="8" fillId="4" borderId="0" xfId="0" applyFont="1" applyFill="1" applyAlignment="1">
      <alignment horizontal="right"/>
    </xf>
    <xf numFmtId="0" fontId="8" fillId="16" borderId="109" xfId="0" applyFont="1" applyFill="1" applyBorder="1" applyAlignment="1">
      <alignment horizontal="center" wrapText="1"/>
    </xf>
    <xf numFmtId="0" fontId="8" fillId="16" borderId="109" xfId="0" applyFont="1" applyFill="1" applyBorder="1"/>
    <xf numFmtId="0" fontId="8" fillId="16" borderId="0" xfId="0" applyFont="1" applyFill="1"/>
    <xf numFmtId="0" fontId="8" fillId="4" borderId="0" xfId="0" applyFont="1" applyFill="1" applyAlignment="1">
      <alignment horizontal="left"/>
    </xf>
    <xf numFmtId="0" fontId="8" fillId="16" borderId="109" xfId="0" applyFont="1" applyFill="1" applyBorder="1" applyAlignment="1">
      <alignment horizontal="center"/>
    </xf>
    <xf numFmtId="0" fontId="12" fillId="13" borderId="4" xfId="0" applyFont="1" applyFill="1" applyBorder="1" applyAlignment="1">
      <alignment horizontal="left"/>
    </xf>
    <xf numFmtId="0" fontId="12" fillId="16" borderId="110" xfId="0" applyFont="1" applyFill="1" applyBorder="1" applyAlignment="1">
      <alignment horizontal="center"/>
    </xf>
    <xf numFmtId="0" fontId="12" fillId="16" borderId="109" xfId="0" applyFont="1" applyFill="1" applyBorder="1" applyAlignment="1">
      <alignment horizontal="center"/>
    </xf>
    <xf numFmtId="0" fontId="12" fillId="16" borderId="0" xfId="0" applyFont="1" applyFill="1" applyAlignment="1">
      <alignment horizontal="center"/>
    </xf>
    <xf numFmtId="0" fontId="8" fillId="16" borderId="110" xfId="0" applyFont="1" applyFill="1" applyBorder="1" applyAlignment="1">
      <alignment horizontal="center"/>
    </xf>
    <xf numFmtId="0" fontId="8" fillId="16" borderId="109" xfId="0" applyFont="1" applyFill="1" applyBorder="1" applyAlignment="1">
      <alignment horizontal="right"/>
    </xf>
    <xf numFmtId="0" fontId="8" fillId="16" borderId="0" xfId="0" applyFont="1" applyFill="1" applyAlignment="1">
      <alignment horizontal="right"/>
    </xf>
    <xf numFmtId="0" fontId="0" fillId="18" borderId="1" xfId="0" applyFill="1" applyBorder="1" applyProtection="1">
      <protection hidden="1"/>
    </xf>
    <xf numFmtId="0" fontId="0" fillId="0" borderId="93" xfId="0" applyBorder="1"/>
    <xf numFmtId="0" fontId="0" fillId="0" borderId="139" xfId="0" applyBorder="1" applyAlignment="1">
      <alignment horizontal="left"/>
    </xf>
    <xf numFmtId="168" fontId="2" fillId="4" borderId="140" xfId="1" applyNumberFormat="1" applyFont="1" applyFill="1" applyBorder="1" applyAlignment="1" applyProtection="1">
      <alignment horizontal="center"/>
    </xf>
    <xf numFmtId="0" fontId="2" fillId="4" borderId="140" xfId="0" applyFont="1" applyFill="1" applyBorder="1" applyAlignment="1">
      <alignment horizontal="left"/>
    </xf>
    <xf numFmtId="0" fontId="0" fillId="0" borderId="114" xfId="0" applyBorder="1" applyAlignment="1">
      <alignment horizontal="left"/>
    </xf>
    <xf numFmtId="168" fontId="0" fillId="2" borderId="94" xfId="1" applyNumberFormat="1" applyFont="1" applyFill="1" applyBorder="1" applyAlignment="1" applyProtection="1"/>
    <xf numFmtId="168" fontId="0" fillId="2" borderId="93" xfId="1" applyNumberFormat="1" applyFont="1" applyFill="1" applyBorder="1" applyAlignment="1" applyProtection="1"/>
    <xf numFmtId="168" fontId="0" fillId="2" borderId="101" xfId="1" applyNumberFormat="1" applyFont="1" applyFill="1" applyBorder="1" applyAlignment="1" applyProtection="1"/>
    <xf numFmtId="0" fontId="0" fillId="0" borderId="101" xfId="0" applyBorder="1"/>
    <xf numFmtId="0" fontId="0" fillId="16" borderId="194" xfId="0" applyFill="1" applyBorder="1" applyAlignment="1">
      <alignment horizontal="center"/>
    </xf>
    <xf numFmtId="0" fontId="0" fillId="16" borderId="195" xfId="0" applyFill="1" applyBorder="1"/>
    <xf numFmtId="168" fontId="0" fillId="4" borderId="0" xfId="1" applyNumberFormat="1" applyFont="1" applyFill="1" applyBorder="1" applyAlignment="1" applyProtection="1"/>
    <xf numFmtId="0" fontId="0" fillId="16" borderId="0" xfId="0" applyFill="1" applyAlignment="1">
      <alignment horizontal="center"/>
    </xf>
    <xf numFmtId="0" fontId="4" fillId="0" borderId="100" xfId="0" applyFont="1" applyBorder="1" applyAlignment="1">
      <alignment horizontal="left" vertical="center"/>
    </xf>
    <xf numFmtId="0" fontId="4" fillId="0" borderId="96" xfId="0" applyFont="1" applyBorder="1" applyAlignment="1">
      <alignment horizontal="left" vertical="center" wrapText="1"/>
    </xf>
    <xf numFmtId="0" fontId="12" fillId="13" borderId="41" xfId="0" applyFont="1" applyFill="1" applyBorder="1"/>
    <xf numFmtId="0" fontId="12" fillId="13" borderId="8" xfId="0" applyFont="1" applyFill="1" applyBorder="1"/>
    <xf numFmtId="0" fontId="24" fillId="4" borderId="0" xfId="0" applyFont="1" applyFill="1" applyAlignment="1">
      <alignment wrapText="1"/>
    </xf>
    <xf numFmtId="0" fontId="12" fillId="4" borderId="114" xfId="0" applyFont="1" applyFill="1" applyBorder="1" applyAlignment="1">
      <alignment horizontal="left"/>
    </xf>
    <xf numFmtId="0" fontId="36" fillId="0" borderId="94" xfId="0" applyFont="1" applyBorder="1" applyAlignment="1">
      <alignment horizontal="center"/>
    </xf>
    <xf numFmtId="0" fontId="52" fillId="4" borderId="94" xfId="0" applyFont="1" applyFill="1" applyBorder="1" applyAlignment="1">
      <alignment horizontal="left"/>
    </xf>
    <xf numFmtId="0" fontId="25" fillId="4" borderId="115" xfId="0" applyFont="1" applyFill="1" applyBorder="1" applyAlignment="1">
      <alignment horizontal="left"/>
    </xf>
    <xf numFmtId="166" fontId="8" fillId="12" borderId="93" xfId="1" applyNumberFormat="1" applyFont="1" applyFill="1" applyBorder="1" applyAlignment="1" applyProtection="1">
      <alignment horizontal="center" vertical="center" wrapText="1"/>
    </xf>
    <xf numFmtId="166" fontId="8" fillId="4" borderId="94" xfId="1" applyNumberFormat="1" applyFont="1" applyFill="1" applyBorder="1" applyAlignment="1" applyProtection="1">
      <alignment horizontal="left"/>
    </xf>
    <xf numFmtId="166" fontId="12" fillId="4" borderId="141" xfId="1" applyNumberFormat="1" applyFont="1" applyFill="1" applyBorder="1" applyAlignment="1" applyProtection="1">
      <alignment vertical="top" wrapText="1"/>
    </xf>
    <xf numFmtId="0" fontId="50" fillId="40" borderId="93" xfId="0" applyFont="1" applyFill="1" applyBorder="1" applyAlignment="1">
      <alignment horizontal="center" vertical="center" wrapText="1"/>
    </xf>
    <xf numFmtId="0" fontId="12" fillId="19" borderId="41" xfId="0" applyFont="1" applyFill="1" applyBorder="1" applyAlignment="1">
      <alignment wrapText="1"/>
    </xf>
    <xf numFmtId="0" fontId="12" fillId="19" borderId="8" xfId="0" applyFont="1" applyFill="1" applyBorder="1" applyAlignment="1">
      <alignment wrapText="1"/>
    </xf>
    <xf numFmtId="0" fontId="0" fillId="16" borderId="110" xfId="0" applyFill="1" applyBorder="1" applyAlignment="1">
      <alignment horizontal="left"/>
    </xf>
    <xf numFmtId="0" fontId="29" fillId="19" borderId="4" xfId="0" applyFont="1" applyFill="1" applyBorder="1"/>
    <xf numFmtId="0" fontId="29" fillId="19" borderId="41" xfId="0" applyFont="1" applyFill="1" applyBorder="1" applyAlignment="1">
      <alignment horizontal="center" wrapText="1"/>
    </xf>
    <xf numFmtId="0" fontId="29" fillId="19" borderId="41" xfId="0" applyFont="1" applyFill="1" applyBorder="1" applyAlignment="1">
      <alignment wrapText="1"/>
    </xf>
    <xf numFmtId="0" fontId="29" fillId="19" borderId="8" xfId="0" applyFont="1" applyFill="1" applyBorder="1" applyAlignment="1">
      <alignment wrapText="1"/>
    </xf>
    <xf numFmtId="166" fontId="0" fillId="2" borderId="94" xfId="0" applyNumberFormat="1" applyFill="1" applyBorder="1"/>
    <xf numFmtId="168" fontId="0" fillId="14" borderId="93" xfId="1" applyNumberFormat="1" applyFont="1" applyFill="1" applyBorder="1" applyAlignment="1" applyProtection="1"/>
    <xf numFmtId="0" fontId="0" fillId="0" borderId="111" xfId="0" applyBorder="1" applyAlignment="1">
      <alignment horizontal="left"/>
    </xf>
    <xf numFmtId="168" fontId="0" fillId="2" borderId="140" xfId="0" applyNumberFormat="1" applyFill="1" applyBorder="1"/>
    <xf numFmtId="44" fontId="0" fillId="2" borderId="94" xfId="5" applyFont="1" applyFill="1" applyBorder="1" applyAlignment="1" applyProtection="1"/>
    <xf numFmtId="173" fontId="0" fillId="14" borderId="93" xfId="5" applyNumberFormat="1" applyFont="1" applyFill="1" applyBorder="1" applyAlignment="1" applyProtection="1"/>
    <xf numFmtId="173" fontId="0" fillId="2" borderId="93" xfId="5" applyNumberFormat="1" applyFont="1" applyFill="1" applyBorder="1" applyAlignment="1" applyProtection="1"/>
    <xf numFmtId="0" fontId="0" fillId="0" borderId="6" xfId="0" applyBorder="1" applyAlignment="1">
      <alignment horizontal="left"/>
    </xf>
    <xf numFmtId="44" fontId="2" fillId="2" borderId="0" xfId="5" applyFont="1" applyFill="1" applyBorder="1" applyAlignment="1" applyProtection="1">
      <alignment vertical="center"/>
    </xf>
    <xf numFmtId="43" fontId="0" fillId="20" borderId="0" xfId="1" applyFont="1" applyFill="1" applyBorder="1" applyAlignment="1" applyProtection="1"/>
    <xf numFmtId="166" fontId="0" fillId="2" borderId="93" xfId="1" applyNumberFormat="1" applyFont="1" applyFill="1" applyBorder="1" applyAlignment="1" applyProtection="1">
      <alignment horizontal="center"/>
    </xf>
    <xf numFmtId="169" fontId="0" fillId="2" borderId="93" xfId="2" applyNumberFormat="1" applyFont="1" applyFill="1" applyBorder="1" applyAlignment="1" applyProtection="1"/>
    <xf numFmtId="43" fontId="0" fillId="2" borderId="93" xfId="1" applyFont="1" applyFill="1" applyBorder="1" applyAlignment="1" applyProtection="1"/>
    <xf numFmtId="177" fontId="0" fillId="2" borderId="112" xfId="1" applyNumberFormat="1" applyFont="1" applyFill="1" applyBorder="1" applyAlignment="1" applyProtection="1"/>
    <xf numFmtId="9" fontId="0" fillId="2" borderId="101" xfId="2" applyFont="1" applyFill="1" applyBorder="1" applyAlignment="1" applyProtection="1"/>
    <xf numFmtId="173" fontId="0" fillId="4" borderId="0" xfId="5" applyNumberFormat="1" applyFont="1" applyFill="1" applyAlignment="1" applyProtection="1"/>
    <xf numFmtId="168" fontId="0" fillId="2" borderId="94" xfId="0" applyNumberFormat="1" applyFill="1" applyBorder="1"/>
    <xf numFmtId="168" fontId="0" fillId="14" borderId="94" xfId="0" applyNumberFormat="1" applyFill="1" applyBorder="1"/>
    <xf numFmtId="168" fontId="0" fillId="14" borderId="112" xfId="1" applyNumberFormat="1" applyFont="1" applyFill="1" applyBorder="1" applyAlignment="1" applyProtection="1"/>
    <xf numFmtId="168" fontId="0" fillId="2" borderId="112" xfId="1" applyNumberFormat="1" applyFont="1" applyFill="1" applyBorder="1" applyAlignment="1" applyProtection="1"/>
    <xf numFmtId="0" fontId="0" fillId="4" borderId="0" xfId="0" applyFill="1" applyAlignment="1">
      <alignment horizontal="right" wrapText="1"/>
    </xf>
    <xf numFmtId="0" fontId="12" fillId="13" borderId="4" xfId="0" applyFont="1" applyFill="1" applyBorder="1"/>
    <xf numFmtId="0" fontId="51" fillId="16" borderId="1" xfId="0" applyFont="1" applyFill="1" applyBorder="1"/>
    <xf numFmtId="0" fontId="0" fillId="0" borderId="248" xfId="0" applyBorder="1" applyAlignment="1">
      <alignment horizontal="left" vertical="top"/>
    </xf>
    <xf numFmtId="0" fontId="0" fillId="0" borderId="250" xfId="0" applyBorder="1" applyAlignment="1">
      <alignment horizontal="left" vertical="top"/>
    </xf>
    <xf numFmtId="0" fontId="0" fillId="0" borderId="252" xfId="0" applyBorder="1" applyAlignment="1">
      <alignment horizontal="left" vertical="top"/>
    </xf>
    <xf numFmtId="0" fontId="0" fillId="0" borderId="250" xfId="0" applyBorder="1" applyAlignment="1">
      <alignment horizontal="left" vertical="top" wrapText="1"/>
    </xf>
    <xf numFmtId="0" fontId="12" fillId="4" borderId="0" xfId="0" applyFont="1" applyFill="1"/>
    <xf numFmtId="0" fontId="0" fillId="0" borderId="76" xfId="0" applyBorder="1" applyAlignment="1">
      <alignment horizontal="left" vertical="top" wrapText="1"/>
    </xf>
    <xf numFmtId="0" fontId="0" fillId="0" borderId="70" xfId="0" applyBorder="1" applyAlignment="1">
      <alignment horizontal="left" vertical="top"/>
    </xf>
    <xf numFmtId="0" fontId="0" fillId="0" borderId="72" xfId="0" applyBorder="1" applyAlignment="1">
      <alignment horizontal="left" vertical="top"/>
    </xf>
    <xf numFmtId="0" fontId="0" fillId="0" borderId="252" xfId="0" applyBorder="1" applyAlignment="1">
      <alignment horizontal="left" vertical="top" wrapText="1"/>
    </xf>
    <xf numFmtId="0" fontId="0" fillId="0" borderId="254" xfId="0" applyBorder="1" applyAlignment="1">
      <alignment horizontal="left" vertical="top"/>
    </xf>
    <xf numFmtId="0" fontId="68" fillId="4" borderId="99" xfId="8" applyFill="1" applyBorder="1" applyAlignment="1" applyProtection="1">
      <alignment horizontal="center" vertical="center" wrapText="1"/>
    </xf>
    <xf numFmtId="0" fontId="8" fillId="4" borderId="0" xfId="0" applyFont="1" applyFill="1" applyAlignment="1">
      <alignment vertical="center" wrapText="1"/>
    </xf>
    <xf numFmtId="0" fontId="8" fillId="4" borderId="93" xfId="0" applyFont="1" applyFill="1" applyBorder="1" applyAlignment="1">
      <alignment horizontal="center" vertical="center" wrapText="1"/>
    </xf>
    <xf numFmtId="0" fontId="0" fillId="4" borderId="103" xfId="0" applyFill="1" applyBorder="1" applyAlignment="1">
      <alignment horizontal="left"/>
    </xf>
    <xf numFmtId="0" fontId="0" fillId="4" borderId="96" xfId="0" applyFill="1" applyBorder="1" applyAlignment="1">
      <alignment horizontal="left"/>
    </xf>
    <xf numFmtId="0" fontId="8" fillId="4" borderId="101" xfId="0" applyFont="1" applyFill="1" applyBorder="1" applyAlignment="1">
      <alignment horizontal="center" vertical="center" wrapText="1"/>
    </xf>
    <xf numFmtId="0" fontId="12" fillId="13" borderId="285" xfId="0" applyFont="1" applyFill="1" applyBorder="1" applyAlignment="1">
      <alignment horizontal="left"/>
    </xf>
    <xf numFmtId="0" fontId="12" fillId="13" borderId="271" xfId="0" applyFont="1" applyFill="1" applyBorder="1" applyAlignment="1">
      <alignment horizontal="center"/>
    </xf>
    <xf numFmtId="0" fontId="0" fillId="4" borderId="111" xfId="0" applyFill="1" applyBorder="1" applyAlignment="1">
      <alignment horizontal="left"/>
    </xf>
    <xf numFmtId="0" fontId="8" fillId="4" borderId="112" xfId="0" applyFont="1" applyFill="1" applyBorder="1" applyAlignment="1">
      <alignment horizontal="center" vertical="center" wrapText="1"/>
    </xf>
    <xf numFmtId="0" fontId="4" fillId="0" borderId="114" xfId="0" applyFont="1" applyBorder="1" applyAlignment="1">
      <alignment horizontal="left" vertical="center" wrapText="1"/>
    </xf>
    <xf numFmtId="0" fontId="8" fillId="4" borderId="94" xfId="0" applyFont="1" applyFill="1" applyBorder="1" applyAlignment="1">
      <alignment horizontal="center" vertical="center" wrapText="1"/>
    </xf>
    <xf numFmtId="0" fontId="4" fillId="0" borderId="114" xfId="0" applyFont="1" applyBorder="1" applyAlignment="1">
      <alignment horizontal="left" vertical="center"/>
    </xf>
    <xf numFmtId="0" fontId="68" fillId="4" borderId="0" xfId="8" applyFill="1" applyBorder="1" applyProtection="1"/>
    <xf numFmtId="0" fontId="68" fillId="4" borderId="0" xfId="8" applyFill="1" applyBorder="1" applyAlignment="1" applyProtection="1">
      <alignment horizontal="left"/>
    </xf>
    <xf numFmtId="0" fontId="68" fillId="4" borderId="95" xfId="8" applyFill="1" applyBorder="1" applyAlignment="1" applyProtection="1">
      <alignment horizontal="center" vertical="center" wrapText="1"/>
    </xf>
    <xf numFmtId="0" fontId="24" fillId="4" borderId="0" xfId="0" applyFont="1" applyFill="1" applyAlignment="1">
      <alignment horizontal="right" wrapText="1"/>
    </xf>
    <xf numFmtId="0" fontId="0" fillId="4" borderId="93" xfId="0" applyFill="1" applyBorder="1" applyAlignment="1">
      <alignment horizontal="left" wrapText="1"/>
    </xf>
    <xf numFmtId="0" fontId="0" fillId="4" borderId="104" xfId="0" applyFill="1" applyBorder="1" applyAlignment="1">
      <alignment horizontal="left"/>
    </xf>
    <xf numFmtId="0" fontId="68" fillId="40" borderId="228" xfId="8" applyFill="1" applyBorder="1" applyAlignment="1" applyProtection="1">
      <alignment vertical="center" wrapText="1"/>
    </xf>
    <xf numFmtId="0" fontId="68" fillId="40" borderId="102" xfId="8" applyFill="1" applyBorder="1" applyAlignment="1" applyProtection="1">
      <alignment vertical="center" wrapText="1"/>
    </xf>
    <xf numFmtId="179" fontId="8" fillId="32" borderId="193" xfId="2" applyNumberFormat="1" applyFont="1" applyFill="1" applyBorder="1" applyAlignment="1">
      <alignment horizontal="center"/>
    </xf>
    <xf numFmtId="179" fontId="0" fillId="32" borderId="193" xfId="2" applyNumberFormat="1" applyFont="1" applyFill="1" applyBorder="1" applyAlignment="1">
      <alignment horizontal="center" wrapText="1"/>
    </xf>
    <xf numFmtId="179" fontId="8" fillId="11" borderId="193" xfId="2" applyNumberFormat="1" applyFont="1" applyFill="1" applyBorder="1" applyAlignment="1">
      <alignment horizontal="center"/>
    </xf>
    <xf numFmtId="179" fontId="8" fillId="31" borderId="193" xfId="2" applyNumberFormat="1" applyFont="1" applyFill="1" applyBorder="1" applyAlignment="1">
      <alignment horizontal="center"/>
    </xf>
    <xf numFmtId="0" fontId="50" fillId="40" borderId="227" xfId="0" applyFont="1" applyFill="1" applyBorder="1" applyAlignment="1">
      <alignment horizontal="left" vertical="center" wrapText="1"/>
    </xf>
    <xf numFmtId="0" fontId="50" fillId="40" borderId="100" xfId="0" applyFont="1" applyFill="1" applyBorder="1" applyAlignment="1">
      <alignment horizontal="left" vertical="center" wrapText="1"/>
    </xf>
    <xf numFmtId="0" fontId="50" fillId="40" borderId="103" xfId="0" applyFont="1" applyFill="1" applyBorder="1" applyAlignment="1">
      <alignment horizontal="left" vertical="center" wrapText="1"/>
    </xf>
    <xf numFmtId="0" fontId="50" fillId="40" borderId="96" xfId="0" applyFont="1" applyFill="1" applyBorder="1" applyAlignment="1">
      <alignment horizontal="left" vertical="center" wrapText="1"/>
    </xf>
    <xf numFmtId="0" fontId="0" fillId="0" borderId="6" xfId="0" applyBorder="1" applyAlignment="1">
      <alignment horizontal="left" vertical="center"/>
    </xf>
    <xf numFmtId="0" fontId="4" fillId="0" borderId="6" xfId="0" applyFont="1" applyBorder="1" applyAlignment="1">
      <alignment horizontal="left" vertical="center"/>
    </xf>
    <xf numFmtId="0" fontId="26" fillId="0" borderId="6" xfId="0" applyFont="1" applyBorder="1" applyAlignment="1">
      <alignment horizontal="left" vertical="center"/>
    </xf>
    <xf numFmtId="0" fontId="8" fillId="0" borderId="103" xfId="0" applyFont="1" applyBorder="1" applyAlignment="1">
      <alignment horizontal="left" vertical="center"/>
    </xf>
    <xf numFmtId="0" fontId="4" fillId="0" borderId="6" xfId="0" applyFont="1" applyBorder="1" applyAlignment="1">
      <alignment horizontal="left" vertical="center" wrapText="1"/>
    </xf>
    <xf numFmtId="0" fontId="0" fillId="0" borderId="103" xfId="0" applyBorder="1" applyAlignment="1">
      <alignment horizontal="left" vertical="center"/>
    </xf>
    <xf numFmtId="0" fontId="0" fillId="0" borderId="96" xfId="0" applyBorder="1" applyAlignment="1">
      <alignment horizontal="left" vertical="center"/>
    </xf>
    <xf numFmtId="0" fontId="8" fillId="0" borderId="96" xfId="0" applyFont="1" applyBorder="1" applyAlignment="1">
      <alignment horizontal="left" vertical="center"/>
    </xf>
    <xf numFmtId="0" fontId="50" fillId="40" borderId="93" xfId="0" applyFont="1" applyFill="1" applyBorder="1" applyAlignment="1" applyProtection="1">
      <alignment horizontal="center" vertical="center" wrapText="1"/>
      <protection locked="0"/>
    </xf>
    <xf numFmtId="0" fontId="51" fillId="13" borderId="4" xfId="0" applyFont="1" applyFill="1" applyBorder="1"/>
    <xf numFmtId="0" fontId="51" fillId="13" borderId="41" xfId="0" applyFont="1" applyFill="1" applyBorder="1"/>
    <xf numFmtId="0" fontId="51" fillId="13" borderId="8" xfId="0" applyFont="1" applyFill="1" applyBorder="1"/>
    <xf numFmtId="2" fontId="17" fillId="4" borderId="1" xfId="0" applyNumberFormat="1" applyFont="1" applyFill="1" applyBorder="1" applyAlignment="1" applyProtection="1">
      <alignment horizontal="center" wrapText="1"/>
      <protection hidden="1"/>
    </xf>
    <xf numFmtId="14" fontId="18" fillId="4" borderId="1" xfId="0" applyNumberFormat="1" applyFont="1" applyFill="1" applyBorder="1" applyAlignment="1" applyProtection="1">
      <alignment horizontal="center"/>
      <protection hidden="1"/>
    </xf>
    <xf numFmtId="0" fontId="47" fillId="35" borderId="5" xfId="0" quotePrefix="1" applyFont="1" applyFill="1" applyBorder="1" applyAlignment="1">
      <alignment vertical="center" wrapText="1"/>
    </xf>
    <xf numFmtId="0" fontId="47" fillId="15" borderId="8" xfId="0" applyFont="1" applyFill="1" applyBorder="1" applyAlignment="1">
      <alignment horizontal="center" vertical="center"/>
    </xf>
    <xf numFmtId="0" fontId="47" fillId="15" borderId="1" xfId="0" applyFont="1" applyFill="1" applyBorder="1" applyAlignment="1">
      <alignment horizontal="left" vertical="center" wrapText="1"/>
    </xf>
    <xf numFmtId="0" fontId="47" fillId="35" borderId="8" xfId="0" applyFont="1" applyFill="1" applyBorder="1" applyAlignment="1">
      <alignment horizontal="center" vertical="center"/>
    </xf>
    <xf numFmtId="0" fontId="47" fillId="35" borderId="7" xfId="0" applyFont="1" applyFill="1" applyBorder="1" applyAlignment="1">
      <alignment horizontal="center" vertical="center"/>
    </xf>
    <xf numFmtId="0" fontId="47" fillId="35" borderId="1" xfId="0" applyFont="1" applyFill="1" applyBorder="1" applyAlignment="1">
      <alignment horizontal="center" vertical="center"/>
    </xf>
    <xf numFmtId="0" fontId="47" fillId="8" borderId="8" xfId="0" applyFont="1" applyFill="1" applyBorder="1" applyAlignment="1">
      <alignment horizontal="center" vertical="center"/>
    </xf>
    <xf numFmtId="0" fontId="17" fillId="15" borderId="1" xfId="0" applyFont="1" applyFill="1" applyBorder="1" applyAlignment="1" applyProtection="1">
      <alignment wrapText="1"/>
      <protection locked="0" hidden="1"/>
    </xf>
    <xf numFmtId="0" fontId="17" fillId="18" borderId="1" xfId="0" applyFont="1" applyFill="1" applyBorder="1" applyAlignment="1" applyProtection="1">
      <alignment wrapText="1"/>
      <protection locked="0" hidden="1"/>
    </xf>
    <xf numFmtId="0" fontId="0" fillId="14" borderId="93" xfId="5" applyNumberFormat="1" applyFont="1" applyFill="1" applyBorder="1" applyAlignment="1" applyProtection="1"/>
    <xf numFmtId="0" fontId="2" fillId="0" borderId="40" xfId="0" applyFont="1" applyBorder="1"/>
    <xf numFmtId="0" fontId="8" fillId="4" borderId="93" xfId="0" applyFont="1" applyFill="1" applyBorder="1" applyAlignment="1">
      <alignment wrapText="1"/>
    </xf>
    <xf numFmtId="0" fontId="22" fillId="4" borderId="203" xfId="0" applyFont="1" applyFill="1" applyBorder="1" applyAlignment="1">
      <alignment wrapText="1"/>
    </xf>
    <xf numFmtId="0" fontId="22" fillId="36" borderId="203" xfId="0" applyFont="1" applyFill="1" applyBorder="1" applyAlignment="1">
      <alignment wrapText="1"/>
    </xf>
    <xf numFmtId="0" fontId="22" fillId="32" borderId="276" xfId="0" applyFont="1" applyFill="1" applyBorder="1" applyAlignment="1">
      <alignment wrapText="1"/>
    </xf>
    <xf numFmtId="0" fontId="22" fillId="31" borderId="276" xfId="0" applyFont="1" applyFill="1" applyBorder="1" applyAlignment="1">
      <alignment wrapText="1"/>
    </xf>
    <xf numFmtId="0" fontId="22" fillId="31" borderId="203" xfId="0" applyFont="1" applyFill="1" applyBorder="1" applyAlignment="1">
      <alignment wrapText="1"/>
    </xf>
    <xf numFmtId="0" fontId="22" fillId="11" borderId="203" xfId="0" applyFont="1" applyFill="1" applyBorder="1" applyAlignment="1">
      <alignment wrapText="1"/>
    </xf>
    <xf numFmtId="0" fontId="22" fillId="11" borderId="278" xfId="0" applyFont="1" applyFill="1" applyBorder="1" applyAlignment="1">
      <alignment wrapText="1"/>
    </xf>
    <xf numFmtId="0" fontId="8" fillId="0" borderId="98" xfId="0" applyFont="1" applyBorder="1" applyAlignment="1">
      <alignment horizontal="left" vertical="center"/>
    </xf>
    <xf numFmtId="1" fontId="0" fillId="2" borderId="116" xfId="0" applyNumberFormat="1" applyFill="1" applyBorder="1" applyAlignment="1">
      <alignment horizontal="center" vertical="center"/>
    </xf>
    <xf numFmtId="172" fontId="8" fillId="11" borderId="93" xfId="2" applyNumberFormat="1" applyFont="1" applyFill="1" applyBorder="1"/>
    <xf numFmtId="172" fontId="8" fillId="31" borderId="93" xfId="2" applyNumberFormat="1" applyFont="1" applyFill="1" applyBorder="1"/>
    <xf numFmtId="43" fontId="52" fillId="5" borderId="101" xfId="2" applyNumberFormat="1" applyFont="1" applyFill="1" applyBorder="1"/>
    <xf numFmtId="0" fontId="83" fillId="4" borderId="0" xfId="8" applyFont="1" applyFill="1"/>
    <xf numFmtId="0" fontId="83" fillId="4" borderId="0" xfId="8" applyFont="1" applyFill="1" applyProtection="1"/>
    <xf numFmtId="0" fontId="52" fillId="4" borderId="103" xfId="0" applyFont="1" applyFill="1" applyBorder="1" applyAlignment="1">
      <alignment horizontal="left" vertical="top" wrapText="1"/>
    </xf>
    <xf numFmtId="0" fontId="52" fillId="4" borderId="93" xfId="0" applyFont="1" applyFill="1" applyBorder="1" applyAlignment="1">
      <alignment horizontal="left" vertical="top" wrapText="1"/>
    </xf>
    <xf numFmtId="0" fontId="52" fillId="4" borderId="104" xfId="0" applyFont="1" applyFill="1" applyBorder="1" applyAlignment="1">
      <alignment horizontal="left" vertical="top" wrapText="1"/>
    </xf>
    <xf numFmtId="0" fontId="52" fillId="4" borderId="96" xfId="0" applyFont="1" applyFill="1" applyBorder="1" applyAlignment="1">
      <alignment horizontal="left" vertical="top" wrapText="1"/>
    </xf>
    <xf numFmtId="0" fontId="52" fillId="4" borderId="101" xfId="0" applyFont="1" applyFill="1" applyBorder="1" applyAlignment="1">
      <alignment horizontal="left" vertical="top" wrapText="1"/>
    </xf>
    <xf numFmtId="0" fontId="52" fillId="4" borderId="95" xfId="0" applyFont="1" applyFill="1" applyBorder="1" applyAlignment="1">
      <alignment horizontal="left" vertical="top" wrapText="1"/>
    </xf>
    <xf numFmtId="14" fontId="52" fillId="4" borderId="103" xfId="0" applyNumberFormat="1" applyFont="1" applyFill="1" applyBorder="1" applyAlignment="1">
      <alignment horizontal="left" vertical="top" wrapText="1"/>
    </xf>
    <xf numFmtId="0" fontId="51" fillId="13" borderId="98" xfId="0" applyFont="1" applyFill="1" applyBorder="1" applyAlignment="1">
      <alignment horizontal="left"/>
    </xf>
    <xf numFmtId="0" fontId="51" fillId="13" borderId="116" xfId="0" applyFont="1" applyFill="1" applyBorder="1" applyAlignment="1">
      <alignment horizontal="left"/>
    </xf>
    <xf numFmtId="0" fontId="51" fillId="13" borderId="97" xfId="0" applyFont="1" applyFill="1" applyBorder="1" applyAlignment="1">
      <alignment horizontal="left"/>
    </xf>
    <xf numFmtId="0" fontId="2" fillId="32" borderId="98" xfId="0" applyFont="1" applyFill="1" applyBorder="1" applyAlignment="1">
      <alignment horizontal="left" vertical="top" wrapText="1"/>
    </xf>
    <xf numFmtId="0" fontId="2" fillId="32" borderId="116" xfId="0" applyFont="1" applyFill="1" applyBorder="1" applyAlignment="1">
      <alignment horizontal="left" vertical="top" wrapText="1"/>
    </xf>
    <xf numFmtId="0" fontId="2" fillId="32" borderId="97" xfId="0" applyFont="1" applyFill="1" applyBorder="1" applyAlignment="1">
      <alignment horizontal="left" vertical="top" wrapText="1"/>
    </xf>
    <xf numFmtId="14" fontId="8" fillId="4" borderId="114" xfId="0" applyNumberFormat="1" applyFont="1" applyFill="1" applyBorder="1" applyAlignment="1">
      <alignment horizontal="center" vertical="center" wrapText="1"/>
    </xf>
    <xf numFmtId="0" fontId="8" fillId="4" borderId="94" xfId="0" applyFont="1" applyFill="1" applyBorder="1" applyAlignment="1">
      <alignment horizontal="center" vertical="center" wrapText="1"/>
    </xf>
    <xf numFmtId="175" fontId="8" fillId="4" borderId="94" xfId="0" applyNumberFormat="1" applyFont="1" applyFill="1" applyBorder="1" applyAlignment="1">
      <alignment horizontal="center" vertical="center" wrapText="1"/>
    </xf>
    <xf numFmtId="0" fontId="8" fillId="4" borderId="94" xfId="0" applyFont="1" applyFill="1" applyBorder="1" applyAlignment="1">
      <alignment horizontal="left" vertical="center" wrapText="1"/>
    </xf>
    <xf numFmtId="0" fontId="8" fillId="4" borderId="115" xfId="0" applyFont="1" applyFill="1" applyBorder="1" applyAlignment="1">
      <alignment horizontal="left" vertical="center" wrapText="1"/>
    </xf>
    <xf numFmtId="0" fontId="0" fillId="4" borderId="94" xfId="0" applyFill="1" applyBorder="1" applyAlignment="1">
      <alignment horizontal="left" vertical="top" wrapText="1"/>
    </xf>
    <xf numFmtId="0" fontId="0" fillId="4" borderId="115" xfId="0" applyFill="1" applyBorder="1" applyAlignment="1">
      <alignment horizontal="left" vertical="top" wrapText="1"/>
    </xf>
    <xf numFmtId="175" fontId="0" fillId="4" borderId="93" xfId="0" applyNumberFormat="1" applyFill="1" applyBorder="1" applyAlignment="1">
      <alignment horizontal="left" vertical="top" wrapText="1"/>
    </xf>
    <xf numFmtId="175" fontId="0" fillId="4" borderId="104" xfId="0" applyNumberFormat="1" applyFill="1" applyBorder="1" applyAlignment="1">
      <alignment horizontal="left" vertical="top" wrapText="1"/>
    </xf>
    <xf numFmtId="14" fontId="0" fillId="4" borderId="93" xfId="0" applyNumberFormat="1" applyFill="1" applyBorder="1" applyAlignment="1">
      <alignment horizontal="left" vertical="top" wrapText="1"/>
    </xf>
    <xf numFmtId="0" fontId="0" fillId="4" borderId="93" xfId="0" applyFill="1" applyBorder="1" applyAlignment="1">
      <alignment horizontal="left" vertical="top" wrapText="1"/>
    </xf>
    <xf numFmtId="0" fontId="0" fillId="4" borderId="104" xfId="0" applyFill="1" applyBorder="1" applyAlignment="1">
      <alignment horizontal="left" vertical="top" wrapText="1"/>
    </xf>
    <xf numFmtId="0" fontId="0" fillId="4" borderId="112" xfId="0" applyFill="1" applyBorder="1" applyAlignment="1">
      <alignment horizontal="left" vertical="top" wrapText="1"/>
    </xf>
    <xf numFmtId="0" fontId="0" fillId="4" borderId="113" xfId="0" applyFill="1" applyBorder="1" applyAlignment="1">
      <alignment horizontal="left" vertical="top" wrapText="1"/>
    </xf>
    <xf numFmtId="0" fontId="0" fillId="4" borderId="101" xfId="0" applyFill="1" applyBorder="1" applyAlignment="1">
      <alignment horizontal="left" vertical="center" wrapText="1"/>
    </xf>
    <xf numFmtId="0" fontId="68" fillId="2" borderId="125" xfId="8" applyFill="1" applyBorder="1" applyAlignment="1">
      <alignment horizontal="center" vertical="center" wrapText="1"/>
    </xf>
    <xf numFmtId="0" fontId="68" fillId="2" borderId="126" xfId="8" applyFill="1" applyBorder="1" applyAlignment="1">
      <alignment horizontal="center" vertical="center" wrapText="1"/>
    </xf>
    <xf numFmtId="0" fontId="0" fillId="4" borderId="126" xfId="0" applyFill="1" applyBorder="1" applyAlignment="1">
      <alignment horizontal="left" vertical="center" wrapText="1"/>
    </xf>
    <xf numFmtId="0" fontId="0" fillId="4" borderId="182" xfId="0" applyFill="1" applyBorder="1" applyAlignment="1">
      <alignment horizontal="left" vertical="center" wrapText="1"/>
    </xf>
    <xf numFmtId="0" fontId="0" fillId="4" borderId="93" xfId="0" applyFill="1" applyBorder="1" applyAlignment="1">
      <alignment horizontal="left" vertical="center" wrapText="1"/>
    </xf>
    <xf numFmtId="0" fontId="0" fillId="4" borderId="104" xfId="0" applyFill="1" applyBorder="1" applyAlignment="1">
      <alignment horizontal="left" vertical="center" wrapText="1"/>
    </xf>
    <xf numFmtId="0" fontId="0" fillId="4" borderId="95" xfId="0" applyFill="1" applyBorder="1" applyAlignment="1">
      <alignment horizontal="left" vertical="center" wrapText="1"/>
    </xf>
    <xf numFmtId="0" fontId="68" fillId="36" borderId="130" xfId="8" applyFill="1" applyBorder="1" applyAlignment="1">
      <alignment horizontal="center" vertical="center" wrapText="1"/>
    </xf>
    <xf numFmtId="0" fontId="68" fillId="36" borderId="117" xfId="8" applyFill="1" applyBorder="1" applyAlignment="1">
      <alignment horizontal="center" vertical="center" wrapText="1"/>
    </xf>
    <xf numFmtId="0" fontId="68" fillId="36" borderId="18" xfId="8" applyFill="1" applyBorder="1" applyAlignment="1">
      <alignment horizontal="center" vertical="center" wrapText="1"/>
    </xf>
    <xf numFmtId="0" fontId="68" fillId="36" borderId="127" xfId="8" applyFill="1" applyBorder="1" applyAlignment="1">
      <alignment horizontal="center" vertical="center" wrapText="1"/>
    </xf>
    <xf numFmtId="0" fontId="68" fillId="36" borderId="125" xfId="8" applyFill="1" applyBorder="1" applyAlignment="1">
      <alignment horizontal="center" vertical="center" wrapText="1"/>
    </xf>
    <xf numFmtId="0" fontId="68" fillId="36" borderId="126" xfId="8" applyFill="1" applyBorder="1" applyAlignment="1">
      <alignment horizontal="center" vertical="center" wrapText="1"/>
    </xf>
    <xf numFmtId="0" fontId="68" fillId="2" borderId="6" xfId="8" applyFill="1" applyBorder="1" applyAlignment="1">
      <alignment horizontal="center" vertical="center" wrapText="1"/>
    </xf>
    <xf numFmtId="0" fontId="68" fillId="2" borderId="129" xfId="8" applyFill="1" applyBorder="1" applyAlignment="1">
      <alignment horizontal="center" vertical="center" wrapText="1"/>
    </xf>
    <xf numFmtId="0" fontId="68" fillId="2" borderId="18" xfId="8" applyFill="1" applyBorder="1" applyAlignment="1">
      <alignment horizontal="center" vertical="center" wrapText="1"/>
    </xf>
    <xf numFmtId="0" fontId="68" fillId="2" borderId="127" xfId="8" applyFill="1" applyBorder="1" applyAlignment="1">
      <alignment horizontal="center" vertical="center" wrapText="1"/>
    </xf>
    <xf numFmtId="0" fontId="0" fillId="4" borderId="94" xfId="0" applyFill="1" applyBorder="1" applyAlignment="1">
      <alignment horizontal="left" vertical="center" wrapText="1"/>
    </xf>
    <xf numFmtId="0" fontId="0" fillId="4" borderId="115" xfId="0" applyFill="1" applyBorder="1" applyAlignment="1">
      <alignment horizontal="left" vertical="center" wrapText="1"/>
    </xf>
    <xf numFmtId="0" fontId="0" fillId="4" borderId="122" xfId="0" applyFill="1" applyBorder="1" applyAlignment="1">
      <alignment horizontal="left" vertical="center" wrapText="1"/>
    </xf>
    <xf numFmtId="0" fontId="68" fillId="6" borderId="125" xfId="8" applyFill="1" applyBorder="1" applyAlignment="1">
      <alignment horizontal="center" vertical="center" wrapText="1"/>
    </xf>
    <xf numFmtId="0" fontId="68" fillId="6" borderId="126" xfId="8" applyFill="1" applyBorder="1" applyAlignment="1">
      <alignment horizontal="center" vertical="center" wrapText="1"/>
    </xf>
    <xf numFmtId="0" fontId="52" fillId="32" borderId="128" xfId="0" applyFont="1" applyFill="1" applyBorder="1" applyAlignment="1">
      <alignment horizontal="left" vertical="top" wrapText="1"/>
    </xf>
    <xf numFmtId="0" fontId="52" fillId="32" borderId="2" xfId="0" applyFont="1" applyFill="1" applyBorder="1" applyAlignment="1">
      <alignment horizontal="left" vertical="top" wrapText="1"/>
    </xf>
    <xf numFmtId="0" fontId="52" fillId="32" borderId="7" xfId="0" applyFont="1" applyFill="1" applyBorder="1" applyAlignment="1">
      <alignment horizontal="left" vertical="top" wrapText="1"/>
    </xf>
    <xf numFmtId="0" fontId="0" fillId="4" borderId="128" xfId="0" applyFill="1" applyBorder="1" applyAlignment="1">
      <alignment horizontal="left" vertical="center" wrapText="1"/>
    </xf>
    <xf numFmtId="0" fontId="0" fillId="4" borderId="2" xfId="0" applyFill="1" applyBorder="1" applyAlignment="1">
      <alignment horizontal="left" vertical="center" wrapText="1"/>
    </xf>
    <xf numFmtId="0" fontId="0" fillId="4" borderId="127" xfId="0" applyFill="1" applyBorder="1" applyAlignment="1">
      <alignment horizontal="left" vertical="center" wrapText="1"/>
    </xf>
    <xf numFmtId="0" fontId="0" fillId="4" borderId="120" xfId="0" applyFill="1" applyBorder="1" applyAlignment="1">
      <alignment horizontal="left" vertical="center" wrapText="1"/>
    </xf>
    <xf numFmtId="0" fontId="51" fillId="13" borderId="131" xfId="0" applyFont="1" applyFill="1" applyBorder="1" applyAlignment="1">
      <alignment horizontal="left"/>
    </xf>
    <xf numFmtId="0" fontId="51" fillId="13" borderId="132" xfId="0" applyFont="1" applyFill="1" applyBorder="1" applyAlignment="1">
      <alignment horizontal="left"/>
    </xf>
    <xf numFmtId="0" fontId="51" fillId="13" borderId="133" xfId="0" applyFont="1" applyFill="1" applyBorder="1" applyAlignment="1">
      <alignment horizontal="left"/>
    </xf>
    <xf numFmtId="0" fontId="0" fillId="4" borderId="76" xfId="0" applyFill="1" applyBorder="1" applyAlignment="1">
      <alignment horizontal="left" vertical="top" wrapText="1"/>
    </xf>
    <xf numFmtId="0" fontId="0" fillId="4" borderId="60" xfId="0" applyFill="1" applyBorder="1" applyAlignment="1">
      <alignment horizontal="left" vertical="top" wrapText="1"/>
    </xf>
    <xf numFmtId="0" fontId="0" fillId="4" borderId="77" xfId="0" applyFill="1" applyBorder="1" applyAlignment="1">
      <alignment horizontal="left" vertical="top" wrapText="1"/>
    </xf>
    <xf numFmtId="0" fontId="0" fillId="4" borderId="70" xfId="0" applyFill="1" applyBorder="1" applyAlignment="1">
      <alignment horizontal="left" vertical="top" wrapText="1"/>
    </xf>
    <xf numFmtId="0" fontId="0" fillId="4" borderId="59" xfId="0" applyFill="1" applyBorder="1" applyAlignment="1">
      <alignment horizontal="left" vertical="top" wrapText="1"/>
    </xf>
    <xf numFmtId="0" fontId="0" fillId="4" borderId="71" xfId="0" applyFill="1" applyBorder="1" applyAlignment="1">
      <alignment horizontal="left" vertical="top" wrapText="1"/>
    </xf>
    <xf numFmtId="0" fontId="0" fillId="4" borderId="72" xfId="0" applyFill="1" applyBorder="1" applyAlignment="1">
      <alignment horizontal="left" vertical="top" wrapText="1"/>
    </xf>
    <xf numFmtId="0" fontId="0" fillId="4" borderId="73" xfId="0" applyFill="1" applyBorder="1" applyAlignment="1">
      <alignment horizontal="left" vertical="top" wrapText="1"/>
    </xf>
    <xf numFmtId="0" fontId="0" fillId="4" borderId="74" xfId="0" applyFill="1" applyBorder="1" applyAlignment="1">
      <alignment horizontal="left" vertical="top" wrapText="1"/>
    </xf>
    <xf numFmtId="0" fontId="51" fillId="13" borderId="100" xfId="0" applyFont="1" applyFill="1" applyBorder="1" applyAlignment="1">
      <alignment horizontal="left"/>
    </xf>
    <xf numFmtId="0" fontId="51" fillId="13" borderId="102" xfId="0" applyFont="1" applyFill="1" applyBorder="1" applyAlignment="1">
      <alignment horizontal="left"/>
    </xf>
    <xf numFmtId="0" fontId="51" fillId="13" borderId="99" xfId="0" applyFont="1" applyFill="1" applyBorder="1" applyAlignment="1">
      <alignment horizontal="left"/>
    </xf>
    <xf numFmtId="0" fontId="0" fillId="4" borderId="96" xfId="0" applyFill="1" applyBorder="1" applyAlignment="1">
      <alignment horizontal="left" vertical="top" wrapText="1"/>
    </xf>
    <xf numFmtId="0" fontId="0" fillId="4" borderId="101" xfId="0" applyFill="1" applyBorder="1" applyAlignment="1">
      <alignment horizontal="left" vertical="top" wrapText="1"/>
    </xf>
    <xf numFmtId="0" fontId="0" fillId="4" borderId="95" xfId="0" applyFill="1" applyBorder="1" applyAlignment="1">
      <alignment horizontal="left" vertical="top" wrapText="1"/>
    </xf>
    <xf numFmtId="0" fontId="52" fillId="32" borderId="125" xfId="0" applyFont="1" applyFill="1" applyBorder="1" applyAlignment="1">
      <alignment horizontal="left" vertical="top" wrapText="1"/>
    </xf>
    <xf numFmtId="0" fontId="52" fillId="32" borderId="126" xfId="0" applyFont="1" applyFill="1" applyBorder="1" applyAlignment="1">
      <alignment horizontal="left" vertical="top" wrapText="1"/>
    </xf>
    <xf numFmtId="0" fontId="68" fillId="6" borderId="96" xfId="8" applyFill="1" applyBorder="1" applyAlignment="1">
      <alignment horizontal="center" vertical="center" wrapText="1"/>
    </xf>
    <xf numFmtId="0" fontId="68" fillId="6" borderId="101" xfId="8" applyFill="1" applyBorder="1" applyAlignment="1">
      <alignment horizontal="center" vertical="center" wrapText="1"/>
    </xf>
    <xf numFmtId="0" fontId="68" fillId="30" borderId="6" xfId="8" applyFill="1" applyBorder="1" applyAlignment="1">
      <alignment horizontal="center" vertical="center" wrapText="1"/>
    </xf>
    <xf numFmtId="0" fontId="68" fillId="30" borderId="129" xfId="8" applyFill="1" applyBorder="1" applyAlignment="1">
      <alignment horizontal="center" vertical="center" wrapText="1"/>
    </xf>
    <xf numFmtId="0" fontId="68" fillId="30" borderId="18" xfId="8" applyFill="1" applyBorder="1" applyAlignment="1">
      <alignment horizontal="center" vertical="center" wrapText="1"/>
    </xf>
    <xf numFmtId="0" fontId="68" fillId="30" borderId="127" xfId="8" applyFill="1" applyBorder="1" applyAlignment="1">
      <alignment horizontal="center" vertical="center" wrapText="1"/>
    </xf>
    <xf numFmtId="0" fontId="51" fillId="13" borderId="4" xfId="0" applyFont="1" applyFill="1" applyBorder="1" applyAlignment="1">
      <alignment horizontal="left"/>
    </xf>
    <xf numFmtId="0" fontId="51" fillId="13" borderId="41" xfId="0" applyFont="1" applyFill="1" applyBorder="1" applyAlignment="1">
      <alignment horizontal="left"/>
    </xf>
    <xf numFmtId="0" fontId="0" fillId="4" borderId="4" xfId="0" applyFill="1" applyBorder="1" applyAlignment="1">
      <alignment horizontal="left" vertical="top" wrapText="1"/>
    </xf>
    <xf numFmtId="0" fontId="0" fillId="4" borderId="41" xfId="0" applyFill="1" applyBorder="1" applyAlignment="1">
      <alignment horizontal="left" vertical="top" wrapText="1"/>
    </xf>
    <xf numFmtId="0" fontId="0" fillId="4" borderId="8" xfId="0" applyFill="1" applyBorder="1" applyAlignment="1">
      <alignment horizontal="left" vertical="top" wrapText="1"/>
    </xf>
    <xf numFmtId="0" fontId="27" fillId="35" borderId="219" xfId="0" applyFont="1" applyFill="1" applyBorder="1" applyAlignment="1">
      <alignment horizontal="center" vertical="center" wrapText="1"/>
    </xf>
    <xf numFmtId="0" fontId="27" fillId="35" borderId="272" xfId="0" applyFont="1" applyFill="1" applyBorder="1" applyAlignment="1">
      <alignment horizontal="center" vertical="center" wrapText="1"/>
    </xf>
    <xf numFmtId="0" fontId="27" fillId="44" borderId="275" xfId="0" applyFont="1" applyFill="1" applyBorder="1" applyAlignment="1">
      <alignment horizontal="center" vertical="center" wrapText="1"/>
    </xf>
    <xf numFmtId="0" fontId="27" fillId="44" borderId="219" xfId="0" applyFont="1" applyFill="1" applyBorder="1" applyAlignment="1">
      <alignment horizontal="center" vertical="center" wrapText="1"/>
    </xf>
    <xf numFmtId="0" fontId="27" fillId="44" borderId="277" xfId="0" applyFont="1" applyFill="1" applyBorder="1" applyAlignment="1">
      <alignment horizontal="center" vertical="center" wrapText="1"/>
    </xf>
    <xf numFmtId="0" fontId="27" fillId="8" borderId="275" xfId="0" applyFont="1" applyFill="1" applyBorder="1" applyAlignment="1">
      <alignment horizontal="center" vertical="center" wrapText="1"/>
    </xf>
    <xf numFmtId="0" fontId="27" fillId="8" borderId="219" xfId="0" applyFont="1" applyFill="1" applyBorder="1" applyAlignment="1">
      <alignment horizontal="center" vertical="center" wrapText="1"/>
    </xf>
    <xf numFmtId="0" fontId="27" fillId="8" borderId="277" xfId="0" applyFont="1" applyFill="1" applyBorder="1" applyAlignment="1">
      <alignment horizontal="center" vertical="center" wrapText="1"/>
    </xf>
    <xf numFmtId="0" fontId="27" fillId="14" borderId="275" xfId="0" applyFont="1" applyFill="1" applyBorder="1" applyAlignment="1">
      <alignment horizontal="center" vertical="center" wrapText="1"/>
    </xf>
    <xf numFmtId="0" fontId="27" fillId="14" borderId="219" xfId="0" applyFont="1" applyFill="1" applyBorder="1" applyAlignment="1">
      <alignment horizontal="center" vertical="center" wrapText="1"/>
    </xf>
    <xf numFmtId="0" fontId="27" fillId="12" borderId="279" xfId="0" applyFont="1" applyFill="1" applyBorder="1" applyAlignment="1">
      <alignment horizontal="center" vertical="center" wrapText="1"/>
    </xf>
    <xf numFmtId="0" fontId="27" fillId="12" borderId="219" xfId="0" applyFont="1" applyFill="1" applyBorder="1" applyAlignment="1">
      <alignment horizontal="center" vertical="center" wrapText="1"/>
    </xf>
    <xf numFmtId="0" fontId="2" fillId="4" borderId="199" xfId="0" applyFont="1" applyFill="1" applyBorder="1" applyAlignment="1">
      <alignment horizontal="center"/>
    </xf>
    <xf numFmtId="0" fontId="2" fillId="4" borderId="201" xfId="0" applyFont="1" applyFill="1" applyBorder="1" applyAlignment="1">
      <alignment horizontal="center"/>
    </xf>
    <xf numFmtId="0" fontId="2" fillId="4" borderId="207" xfId="0" applyFont="1" applyFill="1" applyBorder="1" applyAlignment="1">
      <alignment horizontal="center" wrapText="1"/>
    </xf>
    <xf numFmtId="0" fontId="2" fillId="4" borderId="208" xfId="0" applyFont="1" applyFill="1" applyBorder="1" applyAlignment="1">
      <alignment horizontal="center" wrapText="1"/>
    </xf>
    <xf numFmtId="0" fontId="2" fillId="4" borderId="209" xfId="0" applyFont="1" applyFill="1" applyBorder="1" applyAlignment="1">
      <alignment horizontal="center" wrapText="1"/>
    </xf>
    <xf numFmtId="0" fontId="12" fillId="13" borderId="288" xfId="0" applyFont="1" applyFill="1" applyBorder="1" applyAlignment="1">
      <alignment horizontal="center"/>
    </xf>
    <xf numFmtId="0" fontId="12" fillId="13" borderId="41" xfId="0" applyFont="1" applyFill="1" applyBorder="1" applyAlignment="1">
      <alignment horizontal="center"/>
    </xf>
    <xf numFmtId="0" fontId="12" fillId="13" borderId="137" xfId="0" applyFont="1" applyFill="1" applyBorder="1" applyAlignment="1">
      <alignment horizontal="center"/>
    </xf>
    <xf numFmtId="0" fontId="68" fillId="4" borderId="0" xfId="8" applyFill="1" applyBorder="1" applyAlignment="1" applyProtection="1">
      <alignment horizontal="left"/>
    </xf>
    <xf numFmtId="0" fontId="8" fillId="4" borderId="0" xfId="0" applyFont="1" applyFill="1" applyAlignment="1">
      <alignment horizontal="left" vertical="center" wrapText="1"/>
    </xf>
    <xf numFmtId="0" fontId="0" fillId="4" borderId="0" xfId="0" applyFill="1" applyAlignment="1">
      <alignment horizontal="left" vertical="center" wrapText="1"/>
    </xf>
    <xf numFmtId="0" fontId="11" fillId="19" borderId="98" xfId="0" applyFont="1" applyFill="1" applyBorder="1" applyAlignment="1">
      <alignment horizontal="left" wrapText="1"/>
    </xf>
    <xf numFmtId="0" fontId="11" fillId="19" borderId="116" xfId="0" applyFont="1" applyFill="1" applyBorder="1" applyAlignment="1">
      <alignment horizontal="left" wrapText="1"/>
    </xf>
    <xf numFmtId="0" fontId="11" fillId="19" borderId="97" xfId="0" applyFont="1" applyFill="1" applyBorder="1" applyAlignment="1">
      <alignment horizontal="left" wrapText="1"/>
    </xf>
    <xf numFmtId="0" fontId="68" fillId="0" borderId="107" xfId="8" applyBorder="1" applyAlignment="1" applyProtection="1">
      <alignment horizontal="left" vertical="center" wrapText="1"/>
    </xf>
    <xf numFmtId="0" fontId="68" fillId="0" borderId="106" xfId="8" applyBorder="1" applyAlignment="1" applyProtection="1">
      <alignment horizontal="left" vertical="center" wrapText="1"/>
    </xf>
    <xf numFmtId="0" fontId="0" fillId="0" borderId="105" xfId="0" applyBorder="1" applyAlignment="1">
      <alignment horizontal="left" vertical="center" wrapText="1"/>
    </xf>
    <xf numFmtId="0" fontId="0" fillId="0" borderId="107" xfId="0" applyBorder="1" applyAlignment="1">
      <alignment horizontal="left" vertical="center" wrapText="1"/>
    </xf>
    <xf numFmtId="0" fontId="0" fillId="0" borderId="183" xfId="0" applyBorder="1" applyAlignment="1">
      <alignment horizontal="left" vertical="center" wrapText="1"/>
    </xf>
    <xf numFmtId="0" fontId="0" fillId="0" borderId="184" xfId="0" applyBorder="1" applyAlignment="1">
      <alignment horizontal="left" vertical="center" wrapText="1"/>
    </xf>
    <xf numFmtId="0" fontId="68" fillId="0" borderId="184" xfId="8" applyBorder="1" applyAlignment="1" applyProtection="1">
      <alignment horizontal="left" vertical="center" wrapText="1"/>
    </xf>
    <xf numFmtId="0" fontId="68" fillId="0" borderId="228" xfId="8" applyBorder="1" applyAlignment="1" applyProtection="1">
      <alignment horizontal="left" vertical="center" wrapText="1"/>
    </xf>
    <xf numFmtId="0" fontId="0" fillId="0" borderId="108" xfId="0" applyBorder="1" applyAlignment="1">
      <alignment horizontal="left" vertical="center" wrapText="1"/>
    </xf>
    <xf numFmtId="0" fontId="0" fillId="0" borderId="118" xfId="0" applyBorder="1" applyAlignment="1">
      <alignment horizontal="left" vertical="center" wrapText="1"/>
    </xf>
    <xf numFmtId="0" fontId="68" fillId="0" borderId="118" xfId="8" applyBorder="1" applyAlignment="1" applyProtection="1">
      <alignment horizontal="left" vertical="center" wrapText="1"/>
    </xf>
    <xf numFmtId="0" fontId="68" fillId="0" borderId="119" xfId="8" applyBorder="1" applyAlignment="1" applyProtection="1">
      <alignment horizontal="left" vertical="center" wrapText="1"/>
    </xf>
    <xf numFmtId="0" fontId="12" fillId="0" borderId="0" xfId="0" applyFont="1" applyAlignment="1">
      <alignment horizontal="center" vertical="center"/>
    </xf>
    <xf numFmtId="0" fontId="12" fillId="0" borderId="45" xfId="0" applyFont="1" applyBorder="1" applyAlignment="1">
      <alignment horizontal="center"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13" borderId="284" xfId="0" applyFont="1" applyFill="1" applyBorder="1" applyAlignment="1">
      <alignment horizontal="left"/>
    </xf>
    <xf numFmtId="0" fontId="12" fillId="13" borderId="41" xfId="0" applyFont="1" applyFill="1" applyBorder="1" applyAlignment="1">
      <alignment horizontal="left"/>
    </xf>
    <xf numFmtId="0" fontId="12" fillId="13" borderId="286" xfId="0" applyFont="1" applyFill="1" applyBorder="1" applyAlignment="1">
      <alignment horizontal="left"/>
    </xf>
    <xf numFmtId="0" fontId="12" fillId="13" borderId="8" xfId="0" applyFont="1" applyFill="1" applyBorder="1" applyAlignment="1">
      <alignment horizontal="left"/>
    </xf>
    <xf numFmtId="0" fontId="29" fillId="19" borderId="41" xfId="0" applyFont="1" applyFill="1" applyBorder="1" applyAlignment="1">
      <alignment horizontal="center" wrapText="1"/>
    </xf>
    <xf numFmtId="0" fontId="29" fillId="19" borderId="8" xfId="0" applyFont="1" applyFill="1" applyBorder="1" applyAlignment="1">
      <alignment horizontal="center" wrapText="1"/>
    </xf>
    <xf numFmtId="0" fontId="39" fillId="19" borderId="4" xfId="0" applyFont="1" applyFill="1" applyBorder="1" applyAlignment="1">
      <alignment horizontal="left" wrapText="1"/>
    </xf>
    <xf numFmtId="0" fontId="12" fillId="19" borderId="41" xfId="0" applyFont="1" applyFill="1" applyBorder="1" applyAlignment="1">
      <alignment horizontal="left" wrapText="1"/>
    </xf>
    <xf numFmtId="0" fontId="12" fillId="19" borderId="8" xfId="0" applyFont="1" applyFill="1" applyBorder="1" applyAlignment="1">
      <alignment horizontal="left" wrapText="1"/>
    </xf>
    <xf numFmtId="0" fontId="12" fillId="19" borderId="41" xfId="0" applyFont="1" applyFill="1" applyBorder="1" applyAlignment="1">
      <alignment horizontal="left"/>
    </xf>
    <xf numFmtId="0" fontId="12" fillId="13" borderId="288" xfId="0" applyFont="1" applyFill="1" applyBorder="1" applyAlignment="1">
      <alignment horizontal="left"/>
    </xf>
    <xf numFmtId="0" fontId="50" fillId="40" borderId="101" xfId="0" applyFont="1" applyFill="1" applyBorder="1" applyAlignment="1" applyProtection="1">
      <alignment horizontal="left" vertical="top" wrapText="1"/>
      <protection locked="0"/>
    </xf>
    <xf numFmtId="0" fontId="50" fillId="40" borderId="95" xfId="0" applyFont="1" applyFill="1" applyBorder="1" applyAlignment="1" applyProtection="1">
      <alignment horizontal="left" vertical="top" wrapText="1"/>
      <protection locked="0"/>
    </xf>
    <xf numFmtId="0" fontId="8" fillId="0" borderId="142"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81"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28" xfId="0" applyFont="1" applyBorder="1" applyAlignment="1">
      <alignment horizontal="center" vertical="center" wrapText="1"/>
    </xf>
    <xf numFmtId="0" fontId="8" fillId="0" borderId="7" xfId="0" applyFont="1" applyBorder="1" applyAlignment="1">
      <alignment horizontal="center" vertical="center" wrapText="1"/>
    </xf>
    <xf numFmtId="166" fontId="0" fillId="40" borderId="271" xfId="0" applyNumberFormat="1" applyFill="1" applyBorder="1" applyAlignment="1">
      <alignment horizontal="center"/>
    </xf>
    <xf numFmtId="166" fontId="0" fillId="40" borderId="140" xfId="0" applyNumberFormat="1" applyFill="1" applyBorder="1" applyAlignment="1">
      <alignment horizontal="center"/>
    </xf>
    <xf numFmtId="166" fontId="0" fillId="40" borderId="126" xfId="0" applyNumberFormat="1" applyFill="1" applyBorder="1" applyAlignment="1">
      <alignment horizontal="center"/>
    </xf>
    <xf numFmtId="0" fontId="0" fillId="0" borderId="181" xfId="0" applyBorder="1" applyAlignment="1">
      <alignment horizontal="left"/>
    </xf>
    <xf numFmtId="0" fontId="0" fillId="0" borderId="45" xfId="0" applyBorder="1" applyAlignment="1">
      <alignment horizontal="left"/>
    </xf>
    <xf numFmtId="0" fontId="24" fillId="0" borderId="181" xfId="0" applyFont="1" applyBorder="1" applyAlignment="1">
      <alignment horizontal="left"/>
    </xf>
    <xf numFmtId="0" fontId="24" fillId="0" borderId="45" xfId="0" applyFont="1" applyBorder="1" applyAlignment="1">
      <alignment horizontal="left"/>
    </xf>
    <xf numFmtId="0" fontId="72" fillId="19" borderId="4" xfId="0" applyFont="1" applyFill="1" applyBorder="1" applyAlignment="1">
      <alignment horizontal="left" wrapText="1"/>
    </xf>
    <xf numFmtId="0" fontId="72" fillId="19" borderId="41" xfId="0" applyFont="1" applyFill="1" applyBorder="1" applyAlignment="1">
      <alignment horizontal="left" wrapText="1"/>
    </xf>
    <xf numFmtId="0" fontId="72" fillId="19" borderId="8" xfId="0" applyFont="1" applyFill="1" applyBorder="1" applyAlignment="1">
      <alignment horizontal="left" wrapText="1"/>
    </xf>
    <xf numFmtId="176" fontId="50" fillId="40" borderId="93" xfId="0" applyNumberFormat="1" applyFont="1" applyFill="1" applyBorder="1" applyAlignment="1" applyProtection="1">
      <alignment horizontal="center" vertical="center" wrapText="1"/>
      <protection locked="0"/>
    </xf>
    <xf numFmtId="0" fontId="50" fillId="40" borderId="105" xfId="0" applyFont="1" applyFill="1" applyBorder="1" applyAlignment="1" applyProtection="1">
      <alignment horizontal="left" vertical="top" wrapText="1"/>
      <protection locked="0"/>
    </xf>
    <xf numFmtId="0" fontId="50" fillId="40" borderId="107" xfId="0" applyFont="1" applyFill="1" applyBorder="1" applyAlignment="1" applyProtection="1">
      <alignment horizontal="left" vertical="top" wrapText="1"/>
      <protection locked="0"/>
    </xf>
    <xf numFmtId="0" fontId="50" fillId="40" borderId="106" xfId="0" applyFont="1" applyFill="1" applyBorder="1" applyAlignment="1" applyProtection="1">
      <alignment horizontal="left" vertical="top" wrapText="1"/>
      <protection locked="0"/>
    </xf>
    <xf numFmtId="0" fontId="50" fillId="40" borderId="93" xfId="0" applyFont="1" applyFill="1" applyBorder="1" applyAlignment="1" applyProtection="1">
      <alignment horizontal="center" vertical="center" wrapText="1"/>
      <protection locked="0"/>
    </xf>
    <xf numFmtId="0" fontId="50" fillId="40" borderId="93" xfId="0" applyFont="1" applyFill="1" applyBorder="1" applyAlignment="1">
      <alignment horizontal="center" wrapText="1"/>
    </xf>
    <xf numFmtId="0" fontId="50" fillId="40" borderId="104" xfId="0" applyFont="1" applyFill="1" applyBorder="1" applyAlignment="1">
      <alignment horizontal="center" wrapText="1"/>
    </xf>
    <xf numFmtId="0" fontId="50" fillId="40" borderId="93" xfId="0" applyFont="1" applyFill="1" applyBorder="1" applyAlignment="1">
      <alignment horizontal="center" vertical="center" wrapText="1"/>
    </xf>
    <xf numFmtId="0" fontId="50" fillId="40" borderId="104" xfId="0" applyFont="1" applyFill="1" applyBorder="1" applyAlignment="1">
      <alignment horizontal="center" vertical="center" wrapText="1"/>
    </xf>
    <xf numFmtId="0" fontId="50" fillId="40" borderId="102" xfId="0" applyFont="1" applyFill="1" applyBorder="1" applyAlignment="1" applyProtection="1">
      <alignment horizontal="center" vertical="center" wrapText="1"/>
      <protection locked="0"/>
    </xf>
    <xf numFmtId="177" fontId="50" fillId="40" borderId="108" xfId="0" applyNumberFormat="1" applyFont="1" applyFill="1" applyBorder="1" applyAlignment="1" applyProtection="1">
      <alignment horizontal="center" wrapText="1"/>
      <protection locked="0"/>
    </xf>
    <xf numFmtId="177" fontId="50" fillId="40" borderId="122" xfId="0" applyNumberFormat="1" applyFont="1" applyFill="1" applyBorder="1" applyAlignment="1" applyProtection="1">
      <alignment horizontal="center" wrapText="1"/>
      <protection locked="0"/>
    </xf>
    <xf numFmtId="0" fontId="50" fillId="40" borderId="108" xfId="0" applyFont="1" applyFill="1" applyBorder="1" applyAlignment="1">
      <alignment horizontal="center" wrapText="1"/>
    </xf>
    <xf numFmtId="0" fontId="50" fillId="40" borderId="118" xfId="0" applyFont="1" applyFill="1" applyBorder="1" applyAlignment="1">
      <alignment horizontal="center" wrapText="1"/>
    </xf>
    <xf numFmtId="0" fontId="50" fillId="40" borderId="119" xfId="0" applyFont="1" applyFill="1" applyBorder="1" applyAlignment="1">
      <alignment horizontal="center" wrapText="1"/>
    </xf>
    <xf numFmtId="0" fontId="80" fillId="40" borderId="183" xfId="0" applyFont="1" applyFill="1" applyBorder="1" applyAlignment="1">
      <alignment horizontal="center" vertical="center" wrapText="1"/>
    </xf>
    <xf numFmtId="0" fontId="80" fillId="40" borderId="184" xfId="0" applyFont="1" applyFill="1" applyBorder="1" applyAlignment="1">
      <alignment horizontal="center" vertical="center" wrapText="1"/>
    </xf>
    <xf numFmtId="0" fontId="80" fillId="40" borderId="287" xfId="0" applyFont="1" applyFill="1" applyBorder="1" applyAlignment="1">
      <alignment horizontal="center" vertical="center" wrapText="1"/>
    </xf>
    <xf numFmtId="0" fontId="16" fillId="0" borderId="4" xfId="0" applyFont="1" applyBorder="1" applyAlignment="1" applyProtection="1">
      <alignment horizontal="center" shrinkToFit="1"/>
      <protection hidden="1"/>
    </xf>
    <xf numFmtId="0" fontId="16" fillId="0" borderId="41" xfId="0" applyFont="1" applyBorder="1" applyAlignment="1" applyProtection="1">
      <alignment horizontal="center" shrinkToFit="1"/>
      <protection hidden="1"/>
    </xf>
    <xf numFmtId="0" fontId="16" fillId="0" borderId="8" xfId="0" applyFont="1" applyBorder="1" applyAlignment="1" applyProtection="1">
      <alignment horizontal="center" shrinkToFit="1"/>
      <protection hidden="1"/>
    </xf>
    <xf numFmtId="0" fontId="17" fillId="18" borderId="41" xfId="0" applyFont="1" applyFill="1" applyBorder="1" applyAlignment="1" applyProtection="1">
      <alignment horizontal="left"/>
      <protection locked="0" hidden="1"/>
    </xf>
    <xf numFmtId="0" fontId="17" fillId="18" borderId="8" xfId="0" applyFont="1" applyFill="1" applyBorder="1" applyAlignment="1" applyProtection="1">
      <alignment horizontal="left"/>
      <protection locked="0" hidden="1"/>
    </xf>
    <xf numFmtId="0" fontId="17" fillId="18" borderId="41" xfId="0" applyFont="1" applyFill="1" applyBorder="1" applyAlignment="1" applyProtection="1">
      <alignment horizontal="center"/>
      <protection locked="0" hidden="1"/>
    </xf>
    <xf numFmtId="0" fontId="17" fillId="18" borderId="8" xfId="0" applyFont="1" applyFill="1" applyBorder="1" applyAlignment="1" applyProtection="1">
      <alignment horizontal="center"/>
      <protection locked="0" hidden="1"/>
    </xf>
    <xf numFmtId="166" fontId="19" fillId="18" borderId="4" xfId="1" applyNumberFormat="1" applyFont="1" applyFill="1" applyBorder="1" applyAlignment="1" applyProtection="1">
      <alignment horizontal="center"/>
      <protection locked="0" hidden="1"/>
    </xf>
    <xf numFmtId="166" fontId="19" fillId="18" borderId="8" xfId="1" applyNumberFormat="1" applyFont="1" applyFill="1" applyBorder="1" applyAlignment="1" applyProtection="1">
      <alignment horizontal="center"/>
      <protection locked="0" hidden="1"/>
    </xf>
    <xf numFmtId="0" fontId="40" fillId="28" borderId="41" xfId="0" applyFont="1" applyFill="1" applyBorder="1" applyAlignment="1" applyProtection="1">
      <alignment horizontal="left"/>
      <protection locked="0"/>
    </xf>
    <xf numFmtId="0" fontId="40" fillId="28" borderId="8" xfId="0" applyFont="1" applyFill="1" applyBorder="1" applyAlignment="1" applyProtection="1">
      <alignment horizontal="left"/>
      <protection locked="0"/>
    </xf>
    <xf numFmtId="0" fontId="40" fillId="43" borderId="4" xfId="0" applyFont="1" applyFill="1" applyBorder="1" applyAlignment="1" applyProtection="1">
      <alignment horizontal="left"/>
      <protection locked="0"/>
    </xf>
    <xf numFmtId="0" fontId="40" fillId="43" borderId="41" xfId="0" applyFont="1" applyFill="1" applyBorder="1" applyAlignment="1" applyProtection="1">
      <alignment horizontal="left"/>
      <protection locked="0"/>
    </xf>
    <xf numFmtId="0" fontId="40" fillId="43" borderId="8" xfId="0" applyFont="1" applyFill="1" applyBorder="1" applyAlignment="1" applyProtection="1">
      <alignment horizontal="left"/>
      <protection locked="0"/>
    </xf>
    <xf numFmtId="0" fontId="40" fillId="28" borderId="41" xfId="0" applyFont="1" applyFill="1" applyBorder="1" applyAlignment="1" applyProtection="1">
      <alignment horizontal="center"/>
      <protection locked="0"/>
    </xf>
    <xf numFmtId="0" fontId="19" fillId="18" borderId="4" xfId="1" applyNumberFormat="1" applyFont="1" applyFill="1" applyBorder="1" applyAlignment="1" applyProtection="1">
      <alignment horizontal="left"/>
      <protection locked="0" hidden="1"/>
    </xf>
    <xf numFmtId="0" fontId="19" fillId="18" borderId="8" xfId="1" applyNumberFormat="1" applyFont="1" applyFill="1" applyBorder="1" applyAlignment="1" applyProtection="1">
      <alignment horizontal="left"/>
      <protection locked="0" hidden="1"/>
    </xf>
    <xf numFmtId="0" fontId="0" fillId="12" borderId="108" xfId="0" applyFill="1" applyBorder="1" applyAlignment="1" applyProtection="1">
      <alignment horizontal="center" wrapText="1"/>
      <protection locked="0"/>
    </xf>
    <xf numFmtId="0" fontId="0" fillId="12" borderId="122" xfId="0" applyFill="1" applyBorder="1" applyAlignment="1" applyProtection="1">
      <alignment horizontal="center" wrapText="1"/>
      <protection locked="0"/>
    </xf>
    <xf numFmtId="0" fontId="24" fillId="4" borderId="93" xfId="0" applyFont="1" applyFill="1" applyBorder="1" applyAlignment="1">
      <alignment horizontal="left" wrapText="1"/>
    </xf>
    <xf numFmtId="0" fontId="24" fillId="4" borderId="104" xfId="0" applyFont="1" applyFill="1" applyBorder="1" applyAlignment="1">
      <alignment horizontal="left" wrapText="1"/>
    </xf>
    <xf numFmtId="0" fontId="12" fillId="0" borderId="0" xfId="0" applyFont="1" applyAlignment="1">
      <alignment horizontal="center" wrapText="1"/>
    </xf>
    <xf numFmtId="0" fontId="12" fillId="0" borderId="45" xfId="0" applyFont="1" applyBorder="1" applyAlignment="1">
      <alignment horizontal="center" wrapText="1"/>
    </xf>
    <xf numFmtId="0" fontId="40" fillId="4" borderId="4" xfId="0" applyFont="1" applyFill="1" applyBorder="1" applyAlignment="1">
      <alignment horizontal="center" wrapText="1"/>
    </xf>
    <xf numFmtId="0" fontId="40" fillId="4" borderId="41" xfId="0" applyFont="1" applyFill="1" applyBorder="1" applyAlignment="1">
      <alignment horizontal="center" wrapText="1"/>
    </xf>
    <xf numFmtId="0" fontId="40" fillId="4" borderId="8" xfId="0" applyFont="1" applyFill="1" applyBorder="1" applyAlignment="1">
      <alignment horizontal="center" wrapText="1"/>
    </xf>
    <xf numFmtId="0" fontId="11" fillId="19" borderId="4" xfId="0" applyFont="1" applyFill="1" applyBorder="1" applyAlignment="1">
      <alignment horizontal="left" wrapText="1"/>
    </xf>
    <xf numFmtId="0" fontId="11" fillId="19" borderId="41" xfId="0" applyFont="1" applyFill="1" applyBorder="1" applyAlignment="1">
      <alignment horizontal="left" wrapText="1"/>
    </xf>
    <xf numFmtId="0" fontId="11" fillId="19" borderId="8" xfId="0" applyFont="1" applyFill="1" applyBorder="1" applyAlignment="1">
      <alignment horizontal="left" wrapText="1"/>
    </xf>
    <xf numFmtId="166" fontId="0" fillId="12" borderId="183" xfId="1" applyNumberFormat="1" applyFont="1" applyFill="1" applyBorder="1" applyAlignment="1" applyProtection="1">
      <alignment horizontal="center"/>
      <protection locked="0"/>
    </xf>
    <xf numFmtId="166" fontId="0" fillId="12" borderId="184" xfId="1" applyNumberFormat="1" applyFont="1" applyFill="1" applyBorder="1" applyAlignment="1" applyProtection="1">
      <alignment horizontal="center"/>
      <protection locked="0"/>
    </xf>
    <xf numFmtId="0" fontId="24" fillId="0" borderId="0" xfId="0" applyFont="1" applyAlignment="1">
      <alignment horizontal="left"/>
    </xf>
    <xf numFmtId="0" fontId="46" fillId="4" borderId="0" xfId="0" applyFont="1" applyFill="1" applyAlignment="1">
      <alignment horizontal="left" vertical="center" wrapText="1"/>
    </xf>
    <xf numFmtId="0" fontId="8" fillId="4" borderId="14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181"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4" borderId="128"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0" fillId="4" borderId="142" xfId="0" applyFill="1" applyBorder="1" applyAlignment="1">
      <alignment horizontal="center" vertical="center" wrapText="1"/>
    </xf>
    <xf numFmtId="0" fontId="0" fillId="4" borderId="44" xfId="0" applyFill="1" applyBorder="1" applyAlignment="1">
      <alignment horizontal="center" vertical="center" wrapText="1"/>
    </xf>
    <xf numFmtId="0" fontId="0" fillId="4" borderId="181"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12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79" xfId="0" applyFill="1" applyBorder="1" applyAlignment="1">
      <alignment horizontal="center" vertical="center" wrapText="1"/>
    </xf>
    <xf numFmtId="0" fontId="0" fillId="4" borderId="141" xfId="0" applyFill="1" applyBorder="1" applyAlignment="1">
      <alignment horizontal="center" vertical="center" wrapText="1"/>
    </xf>
    <xf numFmtId="0" fontId="0" fillId="4" borderId="0" xfId="0" applyFill="1" applyAlignment="1">
      <alignment horizontal="center" vertical="center" wrapText="1"/>
    </xf>
    <xf numFmtId="0" fontId="0" fillId="4" borderId="2" xfId="0" applyFill="1" applyBorder="1" applyAlignment="1">
      <alignment horizontal="center" vertical="center" wrapText="1"/>
    </xf>
    <xf numFmtId="0" fontId="8" fillId="4" borderId="108" xfId="0" applyFont="1" applyFill="1" applyBorder="1" applyAlignment="1">
      <alignment horizontal="left"/>
    </xf>
    <xf numFmtId="0" fontId="8" fillId="4" borderId="118" xfId="0" applyFont="1" applyFill="1" applyBorder="1" applyAlignment="1">
      <alignment horizontal="left"/>
    </xf>
    <xf numFmtId="0" fontId="8" fillId="4" borderId="119" xfId="0" applyFont="1" applyFill="1" applyBorder="1" applyAlignment="1">
      <alignment horizontal="left"/>
    </xf>
    <xf numFmtId="0" fontId="8" fillId="4" borderId="105" xfId="0" applyFont="1" applyFill="1" applyBorder="1" applyAlignment="1">
      <alignment horizontal="left"/>
    </xf>
    <xf numFmtId="0" fontId="8" fillId="4" borderId="107" xfId="0" applyFont="1" applyFill="1" applyBorder="1" applyAlignment="1">
      <alignment horizontal="left"/>
    </xf>
    <xf numFmtId="0" fontId="8" fillId="4" borderId="106" xfId="0" applyFont="1" applyFill="1" applyBorder="1" applyAlignment="1">
      <alignment horizontal="left"/>
    </xf>
    <xf numFmtId="0" fontId="12" fillId="19" borderId="98" xfId="0" applyFont="1" applyFill="1" applyBorder="1" applyAlignment="1">
      <alignment horizontal="left"/>
    </xf>
    <xf numFmtId="0" fontId="12" fillId="19" borderId="116" xfId="0" applyFont="1" applyFill="1" applyBorder="1" applyAlignment="1">
      <alignment horizontal="left"/>
    </xf>
    <xf numFmtId="0" fontId="12" fillId="19" borderId="97" xfId="0" applyFont="1" applyFill="1" applyBorder="1" applyAlignment="1">
      <alignment horizontal="left"/>
    </xf>
    <xf numFmtId="0" fontId="2" fillId="4" borderId="142" xfId="0" applyFont="1" applyFill="1" applyBorder="1" applyAlignment="1">
      <alignment horizontal="left"/>
    </xf>
    <xf numFmtId="0" fontId="2" fillId="4" borderId="43" xfId="0" applyFont="1" applyFill="1" applyBorder="1" applyAlignment="1">
      <alignment horizontal="left"/>
    </xf>
    <xf numFmtId="0" fontId="2" fillId="4" borderId="44" xfId="0" applyFont="1" applyFill="1" applyBorder="1" applyAlignment="1">
      <alignment horizontal="left"/>
    </xf>
    <xf numFmtId="0" fontId="39" fillId="19" borderId="4" xfId="0" applyFont="1" applyFill="1" applyBorder="1" applyAlignment="1">
      <alignment horizontal="left"/>
    </xf>
    <xf numFmtId="0" fontId="12" fillId="19" borderId="8" xfId="0" applyFont="1" applyFill="1" applyBorder="1" applyAlignment="1">
      <alignment horizontal="left"/>
    </xf>
    <xf numFmtId="0" fontId="8" fillId="4" borderId="102" xfId="0" applyFont="1" applyFill="1" applyBorder="1" applyAlignment="1">
      <alignment horizontal="center" vertical="center" wrapText="1"/>
    </xf>
    <xf numFmtId="0" fontId="0" fillId="0" borderId="102" xfId="0" applyBorder="1" applyAlignment="1">
      <alignment horizontal="center" vertical="center" wrapText="1"/>
    </xf>
    <xf numFmtId="0" fontId="12" fillId="4" borderId="101" xfId="0" applyFont="1" applyFill="1" applyBorder="1" applyAlignment="1">
      <alignment horizontal="center" vertical="center" wrapText="1"/>
    </xf>
    <xf numFmtId="0" fontId="0" fillId="0" borderId="101" xfId="0" applyBorder="1" applyAlignment="1">
      <alignment wrapText="1"/>
    </xf>
    <xf numFmtId="0" fontId="11" fillId="19" borderId="17" xfId="0" applyFont="1" applyFill="1" applyBorder="1" applyAlignment="1">
      <alignment horizontal="left" wrapText="1"/>
    </xf>
    <xf numFmtId="0" fontId="11" fillId="19" borderId="43" xfId="0" applyFont="1" applyFill="1" applyBorder="1" applyAlignment="1">
      <alignment horizontal="left" wrapText="1"/>
    </xf>
    <xf numFmtId="0" fontId="11" fillId="19" borderId="44" xfId="0" applyFont="1" applyFill="1" applyBorder="1" applyAlignment="1">
      <alignment horizontal="left" wrapText="1"/>
    </xf>
    <xf numFmtId="0" fontId="11" fillId="19" borderId="18" xfId="0" applyFont="1" applyFill="1" applyBorder="1" applyAlignment="1">
      <alignment horizontal="left" wrapText="1"/>
    </xf>
    <xf numFmtId="0" fontId="11" fillId="19" borderId="2" xfId="0" applyFont="1" applyFill="1" applyBorder="1" applyAlignment="1">
      <alignment horizontal="left" wrapText="1"/>
    </xf>
    <xf numFmtId="0" fontId="11" fillId="19" borderId="7" xfId="0" applyFont="1" applyFill="1" applyBorder="1" applyAlignment="1">
      <alignment horizontal="left" wrapText="1"/>
    </xf>
    <xf numFmtId="0" fontId="0" fillId="12" borderId="102" xfId="0" applyFill="1" applyBorder="1" applyAlignment="1" applyProtection="1">
      <alignment horizontal="center" vertical="center" wrapText="1"/>
      <protection locked="0"/>
    </xf>
    <xf numFmtId="0" fontId="50" fillId="40" borderId="108" xfId="0" applyFont="1" applyFill="1" applyBorder="1" applyAlignment="1" applyProtection="1">
      <alignment horizontal="center" wrapText="1"/>
      <protection locked="0"/>
    </xf>
    <xf numFmtId="0" fontId="50" fillId="40" borderId="122" xfId="0" applyFont="1" applyFill="1" applyBorder="1" applyAlignment="1" applyProtection="1">
      <alignment horizontal="center" wrapText="1"/>
      <protection locked="0"/>
    </xf>
    <xf numFmtId="0" fontId="0" fillId="12" borderId="101" xfId="0" applyFill="1" applyBorder="1" applyAlignment="1" applyProtection="1">
      <alignment horizontal="center" vertical="center" wrapText="1"/>
      <protection locked="0"/>
    </xf>
    <xf numFmtId="0" fontId="8" fillId="0" borderId="284" xfId="0" applyFont="1" applyBorder="1" applyAlignment="1">
      <alignment horizontal="center" vertical="center" wrapText="1"/>
    </xf>
    <xf numFmtId="0" fontId="8" fillId="0" borderId="8" xfId="0" applyFont="1" applyBorder="1" applyAlignment="1">
      <alignment horizontal="center" vertical="center" wrapText="1"/>
    </xf>
    <xf numFmtId="0" fontId="52" fillId="0" borderId="142"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181" xfId="0" applyFont="1" applyBorder="1" applyAlignment="1">
      <alignment horizontal="center" vertical="center" wrapText="1"/>
    </xf>
    <xf numFmtId="0" fontId="52" fillId="0" borderId="45" xfId="0" applyFont="1" applyBorder="1" applyAlignment="1">
      <alignment horizontal="center" vertical="center" wrapText="1"/>
    </xf>
    <xf numFmtId="0" fontId="52" fillId="0" borderId="128" xfId="0" applyFont="1" applyBorder="1" applyAlignment="1">
      <alignment horizontal="center" vertical="center" wrapText="1"/>
    </xf>
    <xf numFmtId="0" fontId="52" fillId="0" borderId="7" xfId="0" applyFont="1" applyBorder="1" applyAlignment="1">
      <alignment horizontal="center" vertical="center" wrapText="1"/>
    </xf>
    <xf numFmtId="166" fontId="0" fillId="20" borderId="142" xfId="0" applyNumberFormat="1" applyFill="1" applyBorder="1" applyAlignment="1">
      <alignment horizontal="center"/>
    </xf>
    <xf numFmtId="166" fontId="0" fillId="20" borderId="43" xfId="0" applyNumberFormat="1" applyFill="1" applyBorder="1" applyAlignment="1">
      <alignment horizontal="center"/>
    </xf>
    <xf numFmtId="166" fontId="0" fillId="20" borderId="270" xfId="0" applyNumberFormat="1" applyFill="1" applyBorder="1" applyAlignment="1">
      <alignment horizontal="center"/>
    </xf>
    <xf numFmtId="166" fontId="0" fillId="20" borderId="181" xfId="0" applyNumberFormat="1" applyFill="1" applyBorder="1" applyAlignment="1">
      <alignment horizontal="center"/>
    </xf>
    <xf numFmtId="166" fontId="0" fillId="20" borderId="0" xfId="0" applyNumberFormat="1" applyFill="1" applyAlignment="1">
      <alignment horizontal="center"/>
    </xf>
    <xf numFmtId="166" fontId="0" fillId="20" borderId="129" xfId="0" applyNumberFormat="1" applyFill="1" applyBorder="1" applyAlignment="1">
      <alignment horizontal="center"/>
    </xf>
    <xf numFmtId="166" fontId="0" fillId="20" borderId="128" xfId="0" applyNumberFormat="1" applyFill="1" applyBorder="1" applyAlignment="1">
      <alignment horizontal="center"/>
    </xf>
    <xf numFmtId="166" fontId="0" fillId="20" borderId="2" xfId="0" applyNumberFormat="1" applyFill="1" applyBorder="1" applyAlignment="1">
      <alignment horizontal="center"/>
    </xf>
    <xf numFmtId="166" fontId="0" fillId="20" borderId="127" xfId="0" applyNumberFormat="1" applyFill="1" applyBorder="1" applyAlignment="1">
      <alignment horizontal="center"/>
    </xf>
    <xf numFmtId="0" fontId="0" fillId="0" borderId="105" xfId="0" applyBorder="1" applyAlignment="1">
      <alignment horizontal="left"/>
    </xf>
    <xf numFmtId="0" fontId="0" fillId="0" borderId="106" xfId="0" applyBorder="1" applyAlignment="1">
      <alignment horizontal="left"/>
    </xf>
    <xf numFmtId="0" fontId="0" fillId="0" borderId="108" xfId="0" applyBorder="1" applyAlignment="1">
      <alignment horizontal="left"/>
    </xf>
    <xf numFmtId="0" fontId="0" fillId="0" borderId="119" xfId="0" applyBorder="1" applyAlignment="1">
      <alignment horizontal="left"/>
    </xf>
    <xf numFmtId="0" fontId="0" fillId="0" borderId="183" xfId="0" applyBorder="1" applyAlignment="1">
      <alignment horizontal="left"/>
    </xf>
    <xf numFmtId="0" fontId="0" fillId="0" borderId="228" xfId="0" applyBorder="1" applyAlignment="1">
      <alignment horizontal="left"/>
    </xf>
    <xf numFmtId="0" fontId="11" fillId="19" borderId="4" xfId="0" applyFont="1" applyFill="1" applyBorder="1" applyAlignment="1">
      <alignment horizontal="left"/>
    </xf>
    <xf numFmtId="0" fontId="11" fillId="19" borderId="41" xfId="0" applyFont="1" applyFill="1" applyBorder="1" applyAlignment="1">
      <alignment horizontal="left"/>
    </xf>
    <xf numFmtId="0" fontId="11" fillId="19" borderId="8" xfId="0" applyFont="1" applyFill="1" applyBorder="1" applyAlignment="1">
      <alignment horizontal="left"/>
    </xf>
    <xf numFmtId="0" fontId="12" fillId="13" borderId="284" xfId="0" applyFont="1" applyFill="1" applyBorder="1" applyAlignment="1">
      <alignment horizontal="center"/>
    </xf>
    <xf numFmtId="0" fontId="0" fillId="4" borderId="17" xfId="0" applyFill="1" applyBorder="1" applyAlignment="1">
      <alignment horizontal="left" vertical="top" wrapText="1"/>
    </xf>
    <xf numFmtId="0" fontId="0" fillId="4" borderId="43" xfId="0" applyFill="1" applyBorder="1" applyAlignment="1">
      <alignment horizontal="left" vertical="top" wrapText="1"/>
    </xf>
    <xf numFmtId="0" fontId="0" fillId="4" borderId="44" xfId="0" applyFill="1" applyBorder="1" applyAlignment="1">
      <alignment horizontal="left" vertical="top" wrapText="1"/>
    </xf>
    <xf numFmtId="0" fontId="0" fillId="4" borderId="6" xfId="0" applyFill="1" applyBorder="1" applyAlignment="1">
      <alignment horizontal="left" vertical="top" wrapText="1"/>
    </xf>
    <xf numFmtId="0" fontId="0" fillId="4" borderId="0" xfId="0" applyFill="1" applyAlignment="1">
      <alignment horizontal="left" vertical="top" wrapText="1"/>
    </xf>
    <xf numFmtId="0" fontId="0" fillId="4" borderId="45" xfId="0" applyFill="1" applyBorder="1" applyAlignment="1">
      <alignment horizontal="left" vertical="top" wrapText="1"/>
    </xf>
    <xf numFmtId="0" fontId="0" fillId="4" borderId="18" xfId="0" applyFill="1" applyBorder="1" applyAlignment="1">
      <alignment horizontal="left" vertical="top" wrapText="1"/>
    </xf>
    <xf numFmtId="0" fontId="0" fillId="4" borderId="2" xfId="0" applyFill="1" applyBorder="1" applyAlignment="1">
      <alignment horizontal="left" vertical="top" wrapText="1"/>
    </xf>
    <xf numFmtId="0" fontId="0" fillId="4" borderId="7" xfId="0" applyFill="1" applyBorder="1" applyAlignment="1">
      <alignment horizontal="left" vertical="top" wrapText="1"/>
    </xf>
    <xf numFmtId="0" fontId="51" fillId="16" borderId="4" xfId="0" applyFont="1" applyFill="1" applyBorder="1" applyAlignment="1">
      <alignment horizontal="left"/>
    </xf>
    <xf numFmtId="0" fontId="51" fillId="16" borderId="41" xfId="0" applyFont="1" applyFill="1" applyBorder="1" applyAlignment="1">
      <alignment horizontal="left"/>
    </xf>
    <xf numFmtId="0" fontId="51" fillId="16" borderId="8" xfId="0" applyFont="1" applyFill="1" applyBorder="1" applyAlignment="1">
      <alignment horizontal="left"/>
    </xf>
    <xf numFmtId="0" fontId="0" fillId="4" borderId="1" xfId="0" applyFill="1" applyBorder="1" applyAlignment="1">
      <alignment horizontal="left" wrapText="1"/>
    </xf>
    <xf numFmtId="0" fontId="0" fillId="4" borderId="4" xfId="0" applyFill="1" applyBorder="1" applyAlignment="1">
      <alignment horizontal="left" wrapText="1"/>
    </xf>
    <xf numFmtId="0" fontId="0" fillId="4" borderId="41" xfId="0" applyFill="1" applyBorder="1" applyAlignment="1">
      <alignment horizontal="left" wrapText="1"/>
    </xf>
    <xf numFmtId="0" fontId="0" fillId="4" borderId="8" xfId="0" applyFill="1" applyBorder="1" applyAlignment="1">
      <alignment horizontal="left" wrapText="1"/>
    </xf>
    <xf numFmtId="166" fontId="0" fillId="12" borderId="244" xfId="1" applyNumberFormat="1" applyFont="1" applyFill="1" applyBorder="1" applyAlignment="1" applyProtection="1">
      <alignment horizontal="left" vertical="top" wrapText="1"/>
      <protection locked="0"/>
    </xf>
    <xf numFmtId="166" fontId="0" fillId="12" borderId="253" xfId="1" applyNumberFormat="1" applyFont="1" applyFill="1" applyBorder="1" applyAlignment="1" applyProtection="1">
      <alignment horizontal="left" vertical="top" wrapText="1"/>
      <protection locked="0"/>
    </xf>
    <xf numFmtId="0" fontId="8" fillId="0" borderId="256"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257" xfId="0" applyFont="1" applyBorder="1" applyAlignment="1">
      <alignment horizontal="center" vertical="center"/>
    </xf>
    <xf numFmtId="0" fontId="8" fillId="0" borderId="0" xfId="0" applyFont="1" applyAlignment="1">
      <alignment horizontal="center" vertical="center"/>
    </xf>
    <xf numFmtId="0" fontId="8" fillId="0" borderId="45" xfId="0" applyFont="1" applyBorder="1" applyAlignment="1">
      <alignment horizontal="center" vertical="center"/>
    </xf>
    <xf numFmtId="0" fontId="8" fillId="0" borderId="246" xfId="0" applyFont="1" applyBorder="1" applyAlignment="1">
      <alignment horizontal="center" vertical="center"/>
    </xf>
    <xf numFmtId="0" fontId="8" fillId="0" borderId="247" xfId="0" applyFont="1" applyBorder="1" applyAlignment="1">
      <alignment horizontal="center" vertical="center"/>
    </xf>
    <xf numFmtId="0" fontId="8" fillId="0" borderId="258" xfId="0" applyFont="1" applyBorder="1" applyAlignment="1">
      <alignment horizontal="center" vertical="center"/>
    </xf>
    <xf numFmtId="0" fontId="8" fillId="0" borderId="59" xfId="0" applyFont="1" applyBorder="1" applyAlignment="1">
      <alignment horizontal="center" vertical="center" wrapText="1"/>
    </xf>
    <xf numFmtId="0" fontId="8" fillId="0" borderId="71" xfId="0" applyFont="1" applyBorder="1" applyAlignment="1">
      <alignment horizontal="center" vertical="center" wrapText="1"/>
    </xf>
    <xf numFmtId="166" fontId="0" fillId="12" borderId="59" xfId="1" applyNumberFormat="1" applyFont="1" applyFill="1" applyBorder="1" applyAlignment="1" applyProtection="1">
      <alignment horizontal="left" vertical="top" wrapText="1"/>
      <protection locked="0"/>
    </xf>
    <xf numFmtId="166" fontId="0" fillId="12" borderId="245" xfId="1" applyNumberFormat="1" applyFont="1" applyFill="1" applyBorder="1" applyAlignment="1" applyProtection="1">
      <alignment horizontal="center"/>
      <protection locked="0"/>
    </xf>
    <xf numFmtId="0" fontId="8" fillId="0" borderId="193" xfId="0" applyFont="1" applyBorder="1" applyAlignment="1">
      <alignment horizontal="center" vertical="center"/>
    </xf>
    <xf numFmtId="0" fontId="8" fillId="0" borderId="242" xfId="0" applyFont="1" applyBorder="1" applyAlignment="1">
      <alignment horizontal="center" vertical="center"/>
    </xf>
    <xf numFmtId="0" fontId="8" fillId="0" borderId="255" xfId="0" applyFont="1" applyBorder="1" applyAlignment="1">
      <alignment horizontal="center" vertical="center"/>
    </xf>
    <xf numFmtId="166" fontId="0" fillId="12" borderId="60" xfId="1" applyNumberFormat="1" applyFont="1" applyFill="1" applyBorder="1" applyAlignment="1" applyProtection="1">
      <alignment horizontal="center"/>
      <protection locked="0"/>
    </xf>
    <xf numFmtId="0" fontId="8" fillId="0" borderId="60" xfId="0" applyFont="1" applyBorder="1" applyAlignment="1">
      <alignment horizontal="center" vertical="center"/>
    </xf>
    <xf numFmtId="0" fontId="8" fillId="0" borderId="77" xfId="0" applyFont="1" applyBorder="1" applyAlignment="1">
      <alignment horizontal="center" vertical="center"/>
    </xf>
    <xf numFmtId="166" fontId="0" fillId="12" borderId="185" xfId="1" applyNumberFormat="1" applyFont="1" applyFill="1" applyBorder="1" applyAlignment="1" applyProtection="1">
      <alignment horizontal="center"/>
      <protection locked="0"/>
    </xf>
    <xf numFmtId="0" fontId="24" fillId="0" borderId="193" xfId="0" applyFont="1" applyBorder="1" applyAlignment="1">
      <alignment horizontal="left"/>
    </xf>
    <xf numFmtId="0" fontId="24" fillId="0" borderId="242" xfId="0" applyFont="1" applyBorder="1" applyAlignment="1">
      <alignment horizontal="left"/>
    </xf>
    <xf numFmtId="0" fontId="24" fillId="0" borderId="255" xfId="0" applyFont="1" applyBorder="1" applyAlignment="1">
      <alignment horizontal="left"/>
    </xf>
    <xf numFmtId="166" fontId="0" fillId="12" borderId="259" xfId="1" applyNumberFormat="1" applyFont="1" applyFill="1" applyBorder="1" applyAlignment="1" applyProtection="1">
      <alignment horizontal="left" vertical="top" wrapText="1"/>
      <protection locked="0"/>
    </xf>
    <xf numFmtId="166" fontId="0" fillId="12" borderId="41" xfId="1" applyNumberFormat="1" applyFont="1" applyFill="1" applyBorder="1" applyAlignment="1" applyProtection="1">
      <alignment horizontal="left" vertical="top" wrapText="1"/>
      <protection locked="0"/>
    </xf>
    <xf numFmtId="166" fontId="0" fillId="12" borderId="8" xfId="1" applyNumberFormat="1" applyFont="1" applyFill="1" applyBorder="1" applyAlignment="1" applyProtection="1">
      <alignment horizontal="left" vertical="top" wrapText="1"/>
      <protection locked="0"/>
    </xf>
    <xf numFmtId="166" fontId="0" fillId="5" borderId="185" xfId="1" applyNumberFormat="1" applyFont="1" applyFill="1" applyBorder="1" applyAlignment="1" applyProtection="1">
      <alignment horizontal="center"/>
      <protection locked="0"/>
    </xf>
    <xf numFmtId="0" fontId="8" fillId="0" borderId="193" xfId="0" applyFont="1" applyBorder="1" applyAlignment="1">
      <alignment horizontal="left" wrapText="1"/>
    </xf>
    <xf numFmtId="0" fontId="8" fillId="0" borderId="242" xfId="0" applyFont="1" applyBorder="1" applyAlignment="1">
      <alignment horizontal="left" wrapText="1"/>
    </xf>
    <xf numFmtId="0" fontId="8" fillId="0" borderId="255" xfId="0" applyFont="1" applyBorder="1" applyAlignment="1">
      <alignment horizontal="left" wrapText="1"/>
    </xf>
    <xf numFmtId="0" fontId="12" fillId="13" borderId="4" xfId="0" applyFont="1" applyFill="1" applyBorder="1" applyAlignment="1">
      <alignment horizontal="center"/>
    </xf>
    <xf numFmtId="0" fontId="12" fillId="13" borderId="8" xfId="0" applyFont="1" applyFill="1" applyBorder="1" applyAlignment="1">
      <alignment horizontal="center"/>
    </xf>
    <xf numFmtId="166" fontId="0" fillId="12" borderId="193" xfId="1" applyNumberFormat="1" applyFont="1" applyFill="1" applyBorder="1" applyAlignment="1" applyProtection="1">
      <alignment horizontal="center" wrapText="1"/>
      <protection locked="0"/>
    </xf>
    <xf numFmtId="166" fontId="0" fillId="12" borderId="243" xfId="1" applyNumberFormat="1" applyFont="1" applyFill="1" applyBorder="1" applyAlignment="1" applyProtection="1">
      <alignment horizontal="center" wrapText="1"/>
      <protection locked="0"/>
    </xf>
    <xf numFmtId="166" fontId="0" fillId="12" borderId="262" xfId="1" applyNumberFormat="1" applyFont="1" applyFill="1" applyBorder="1" applyAlignment="1" applyProtection="1">
      <alignment horizontal="center" wrapText="1"/>
      <protection locked="0"/>
    </xf>
    <xf numFmtId="166" fontId="0" fillId="12" borderId="264" xfId="1" applyNumberFormat="1" applyFont="1" applyFill="1" applyBorder="1" applyAlignment="1" applyProtection="1">
      <alignment horizontal="center" wrapText="1"/>
      <protection locked="0"/>
    </xf>
    <xf numFmtId="0" fontId="24" fillId="0" borderId="262" xfId="0" applyFont="1" applyBorder="1" applyAlignment="1">
      <alignment horizontal="left"/>
    </xf>
    <xf numFmtId="0" fontId="24" fillId="0" borderId="263" xfId="0" applyFont="1" applyBorder="1" applyAlignment="1">
      <alignment horizontal="left"/>
    </xf>
    <xf numFmtId="0" fontId="24" fillId="0" borderId="268" xfId="0" applyFont="1" applyBorder="1" applyAlignment="1">
      <alignment horizontal="left"/>
    </xf>
    <xf numFmtId="0" fontId="14" fillId="19" borderId="4" xfId="0" applyFont="1" applyFill="1" applyBorder="1" applyAlignment="1">
      <alignment horizontal="left" wrapText="1"/>
    </xf>
    <xf numFmtId="0" fontId="14" fillId="19" borderId="41" xfId="0" applyFont="1" applyFill="1" applyBorder="1" applyAlignment="1">
      <alignment horizontal="left" wrapText="1"/>
    </xf>
    <xf numFmtId="0" fontId="14" fillId="19" borderId="8" xfId="0" applyFont="1" applyFill="1" applyBorder="1" applyAlignment="1">
      <alignment horizontal="left" wrapText="1"/>
    </xf>
    <xf numFmtId="0" fontId="14" fillId="19" borderId="18" xfId="0" applyFont="1" applyFill="1" applyBorder="1" applyAlignment="1">
      <alignment horizontal="left" wrapText="1"/>
    </xf>
    <xf numFmtId="0" fontId="14" fillId="19" borderId="2" xfId="0" applyFont="1" applyFill="1" applyBorder="1" applyAlignment="1">
      <alignment horizontal="left" wrapText="1"/>
    </xf>
    <xf numFmtId="0" fontId="14" fillId="19" borderId="7" xfId="0" applyFont="1" applyFill="1" applyBorder="1" applyAlignment="1">
      <alignment horizontal="left" wrapText="1"/>
    </xf>
    <xf numFmtId="0" fontId="40" fillId="41" borderId="4" xfId="0" applyFont="1" applyFill="1" applyBorder="1" applyAlignment="1" applyProtection="1">
      <alignment horizontal="left"/>
      <protection locked="0"/>
    </xf>
    <xf numFmtId="0" fontId="40" fillId="41" borderId="41" xfId="0" applyFont="1" applyFill="1" applyBorder="1" applyAlignment="1" applyProtection="1">
      <alignment horizontal="left"/>
      <protection locked="0"/>
    </xf>
    <xf numFmtId="0" fontId="40" fillId="41" borderId="8" xfId="0" applyFont="1" applyFill="1" applyBorder="1" applyAlignment="1" applyProtection="1">
      <alignment horizontal="left"/>
      <protection locked="0"/>
    </xf>
    <xf numFmtId="0" fontId="40" fillId="27" borderId="4" xfId="0" applyFont="1" applyFill="1" applyBorder="1" applyAlignment="1">
      <alignment horizontal="center" wrapText="1"/>
    </xf>
    <xf numFmtId="0" fontId="40" fillId="27" borderId="41" xfId="0" applyFont="1" applyFill="1" applyBorder="1" applyAlignment="1">
      <alignment horizontal="center" wrapText="1"/>
    </xf>
    <xf numFmtId="0" fontId="40" fillId="27" borderId="8" xfId="0" applyFont="1" applyFill="1" applyBorder="1" applyAlignment="1">
      <alignment horizontal="center" wrapText="1"/>
    </xf>
    <xf numFmtId="166" fontId="0" fillId="12" borderId="260" xfId="1" applyNumberFormat="1" applyFont="1" applyFill="1" applyBorder="1" applyAlignment="1" applyProtection="1">
      <alignment horizontal="center"/>
      <protection locked="0"/>
    </xf>
    <xf numFmtId="166" fontId="0" fillId="12" borderId="261" xfId="1" applyNumberFormat="1" applyFont="1" applyFill="1" applyBorder="1" applyAlignment="1" applyProtection="1">
      <alignment horizontal="center"/>
      <protection locked="0"/>
    </xf>
    <xf numFmtId="14" fontId="0" fillId="12" borderId="265" xfId="1" applyNumberFormat="1" applyFont="1" applyFill="1" applyBorder="1" applyAlignment="1" applyProtection="1">
      <alignment horizontal="center" wrapText="1"/>
      <protection locked="0"/>
    </xf>
    <xf numFmtId="14" fontId="0" fillId="12" borderId="267" xfId="1" applyNumberFormat="1" applyFont="1" applyFill="1" applyBorder="1" applyAlignment="1" applyProtection="1">
      <alignment horizontal="center" wrapText="1"/>
      <protection locked="0"/>
    </xf>
    <xf numFmtId="0" fontId="24" fillId="0" borderId="265" xfId="0" applyFont="1" applyBorder="1" applyAlignment="1">
      <alignment horizontal="left"/>
    </xf>
    <xf numFmtId="0" fontId="24" fillId="0" borderId="266" xfId="0" applyFont="1" applyBorder="1" applyAlignment="1">
      <alignment horizontal="left"/>
    </xf>
    <xf numFmtId="0" fontId="24" fillId="0" borderId="269" xfId="0" applyFont="1" applyBorder="1" applyAlignment="1">
      <alignment horizontal="left"/>
    </xf>
    <xf numFmtId="166" fontId="0" fillId="12" borderId="73" xfId="1" applyNumberFormat="1" applyFont="1" applyFill="1" applyBorder="1" applyAlignment="1" applyProtection="1">
      <alignment horizontal="left" vertical="top" wrapText="1"/>
      <protection locked="0"/>
    </xf>
    <xf numFmtId="166" fontId="0" fillId="12" borderId="74" xfId="1" applyNumberFormat="1" applyFont="1" applyFill="1" applyBorder="1" applyAlignment="1" applyProtection="1">
      <alignment horizontal="left" vertical="top" wrapText="1"/>
      <protection locked="0"/>
    </xf>
    <xf numFmtId="166" fontId="0" fillId="5" borderId="193" xfId="1" applyNumberFormat="1" applyFont="1" applyFill="1" applyBorder="1" applyAlignment="1" applyProtection="1">
      <alignment horizontal="center" wrapText="1"/>
      <protection locked="0"/>
    </xf>
    <xf numFmtId="166" fontId="0" fillId="5" borderId="243" xfId="1" applyNumberFormat="1" applyFont="1" applyFill="1" applyBorder="1" applyAlignment="1" applyProtection="1">
      <alignment horizontal="center" wrapText="1"/>
      <protection locked="0"/>
    </xf>
    <xf numFmtId="0" fontId="8" fillId="0" borderId="245" xfId="0" applyFont="1" applyBorder="1" applyAlignment="1">
      <alignment horizontal="left"/>
    </xf>
    <xf numFmtId="0" fontId="8" fillId="0" borderId="249" xfId="0" applyFont="1" applyBorder="1" applyAlignment="1">
      <alignment horizontal="left"/>
    </xf>
    <xf numFmtId="0" fontId="8" fillId="4" borderId="245" xfId="0" applyFont="1" applyFill="1" applyBorder="1" applyAlignment="1">
      <alignment horizontal="left" wrapText="1"/>
    </xf>
    <xf numFmtId="0" fontId="8" fillId="4" borderId="249" xfId="0" applyFont="1" applyFill="1" applyBorder="1" applyAlignment="1">
      <alignment horizontal="left" wrapText="1"/>
    </xf>
    <xf numFmtId="0" fontId="24" fillId="0" borderId="245" xfId="0" applyFont="1" applyBorder="1" applyAlignment="1">
      <alignment horizontal="left"/>
    </xf>
    <xf numFmtId="0" fontId="24" fillId="0" borderId="249" xfId="0" applyFont="1" applyBorder="1" applyAlignment="1">
      <alignment horizontal="left"/>
    </xf>
    <xf numFmtId="0" fontId="8" fillId="0" borderId="185" xfId="0" applyFont="1" applyBorder="1" applyAlignment="1">
      <alignment horizontal="left"/>
    </xf>
    <xf numFmtId="0" fontId="8" fillId="0" borderId="251" xfId="0" applyFont="1" applyBorder="1" applyAlignment="1">
      <alignment horizontal="left"/>
    </xf>
    <xf numFmtId="0" fontId="2" fillId="34" borderId="138"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51" fillId="13" borderId="137" xfId="0" applyFont="1" applyFill="1" applyBorder="1" applyAlignment="1">
      <alignment horizontal="left"/>
    </xf>
    <xf numFmtId="0" fontId="39" fillId="19" borderId="41" xfId="0" applyFont="1" applyFill="1" applyBorder="1" applyAlignment="1">
      <alignment horizontal="left" wrapText="1"/>
    </xf>
    <xf numFmtId="0" fontId="39" fillId="19" borderId="8" xfId="0" applyFont="1" applyFill="1" applyBorder="1" applyAlignment="1">
      <alignment horizontal="left" wrapText="1"/>
    </xf>
    <xf numFmtId="0" fontId="0" fillId="4" borderId="134" xfId="0" applyFill="1" applyBorder="1" applyAlignment="1">
      <alignment horizontal="left" vertical="top" wrapText="1"/>
    </xf>
    <xf numFmtId="0" fontId="0" fillId="4" borderId="135" xfId="0" applyFill="1" applyBorder="1" applyAlignment="1">
      <alignment horizontal="left" vertical="top" wrapText="1"/>
    </xf>
    <xf numFmtId="0" fontId="0" fillId="4" borderId="136" xfId="0" applyFill="1" applyBorder="1" applyAlignment="1">
      <alignment horizontal="left" vertical="top" wrapText="1"/>
    </xf>
    <xf numFmtId="0" fontId="8" fillId="4" borderId="4" xfId="0" applyFont="1" applyFill="1" applyBorder="1" applyAlignment="1">
      <alignment horizontal="left"/>
    </xf>
    <xf numFmtId="0" fontId="8" fillId="4" borderId="41" xfId="0" applyFont="1" applyFill="1" applyBorder="1" applyAlignment="1">
      <alignment horizontal="left"/>
    </xf>
    <xf numFmtId="0" fontId="8" fillId="4" borderId="8" xfId="0" applyFont="1" applyFill="1" applyBorder="1" applyAlignment="1">
      <alignment horizontal="left"/>
    </xf>
    <xf numFmtId="0" fontId="11" fillId="13" borderId="4" xfId="0" applyFont="1" applyFill="1" applyBorder="1" applyAlignment="1">
      <alignment horizontal="left"/>
    </xf>
    <xf numFmtId="0" fontId="11" fillId="13" borderId="41" xfId="0" applyFont="1" applyFill="1" applyBorder="1" applyAlignment="1">
      <alignment horizontal="left"/>
    </xf>
    <xf numFmtId="0" fontId="11" fillId="13" borderId="8" xfId="0" applyFont="1" applyFill="1" applyBorder="1" applyAlignment="1">
      <alignment horizontal="left"/>
    </xf>
    <xf numFmtId="0" fontId="29" fillId="19" borderId="4" xfId="0" applyFont="1" applyFill="1" applyBorder="1" applyAlignment="1">
      <alignment horizontal="left" wrapText="1"/>
    </xf>
    <xf numFmtId="0" fontId="55" fillId="4" borderId="4" xfId="0" applyFont="1" applyFill="1" applyBorder="1" applyAlignment="1" applyProtection="1">
      <alignment horizontal="left" vertical="top" wrapText="1"/>
      <protection locked="0"/>
    </xf>
    <xf numFmtId="0" fontId="55" fillId="4" borderId="8" xfId="0" applyFont="1" applyFill="1" applyBorder="1" applyAlignment="1" applyProtection="1">
      <alignment horizontal="left" vertical="top" wrapText="1"/>
      <protection locked="0"/>
    </xf>
    <xf numFmtId="0" fontId="55" fillId="4" borderId="1" xfId="0" applyFont="1" applyFill="1" applyBorder="1" applyAlignment="1" applyProtection="1">
      <alignment horizontal="left" vertical="center" wrapText="1"/>
      <protection locked="0"/>
    </xf>
    <xf numFmtId="0" fontId="0" fillId="4" borderId="1" xfId="0" applyFill="1" applyBorder="1" applyAlignment="1">
      <alignment horizontal="center"/>
    </xf>
    <xf numFmtId="0" fontId="53" fillId="4" borderId="43" xfId="0" applyFont="1" applyFill="1" applyBorder="1" applyAlignment="1">
      <alignment horizontal="left" wrapText="1"/>
    </xf>
    <xf numFmtId="0" fontId="54" fillId="4" borderId="4" xfId="0" applyFont="1" applyFill="1" applyBorder="1" applyAlignment="1">
      <alignment horizontal="left" vertical="center" wrapText="1"/>
    </xf>
    <xf numFmtId="0" fontId="54" fillId="4" borderId="41" xfId="0" applyFont="1" applyFill="1" applyBorder="1" applyAlignment="1">
      <alignment horizontal="left" vertical="center" wrapText="1"/>
    </xf>
    <xf numFmtId="0" fontId="54" fillId="4" borderId="8" xfId="0" applyFont="1" applyFill="1" applyBorder="1" applyAlignment="1">
      <alignment horizontal="left" vertical="center" wrapText="1"/>
    </xf>
    <xf numFmtId="0" fontId="53" fillId="4" borderId="0" xfId="0" applyFont="1" applyFill="1" applyAlignment="1">
      <alignment horizontal="left" wrapText="1"/>
    </xf>
    <xf numFmtId="0" fontId="54" fillId="4" borderId="0" xfId="0" applyFont="1" applyFill="1" applyAlignment="1">
      <alignment horizontal="left" vertical="center" wrapText="1"/>
    </xf>
    <xf numFmtId="0" fontId="55" fillId="4" borderId="4" xfId="0" applyFont="1" applyFill="1" applyBorder="1" applyAlignment="1" applyProtection="1">
      <alignment horizontal="left" vertical="center" wrapText="1"/>
      <protection locked="0"/>
    </xf>
    <xf numFmtId="0" fontId="55" fillId="4" borderId="41" xfId="0" applyFont="1" applyFill="1" applyBorder="1" applyAlignment="1" applyProtection="1">
      <alignment horizontal="left" vertical="center" wrapText="1"/>
      <protection locked="0"/>
    </xf>
    <xf numFmtId="0" fontId="55" fillId="4" borderId="8" xfId="0" applyFont="1" applyFill="1" applyBorder="1" applyAlignment="1" applyProtection="1">
      <alignment horizontal="left" vertical="center" wrapText="1"/>
      <protection locked="0"/>
    </xf>
    <xf numFmtId="0" fontId="55" fillId="4" borderId="17" xfId="0" applyFont="1" applyFill="1" applyBorder="1" applyAlignment="1">
      <alignment horizontal="center" vertical="center" wrapText="1"/>
    </xf>
    <xf numFmtId="0" fontId="55" fillId="4" borderId="43" xfId="0" applyFont="1" applyFill="1" applyBorder="1" applyAlignment="1">
      <alignment horizontal="center" vertical="center" wrapText="1"/>
    </xf>
    <xf numFmtId="0" fontId="55" fillId="4" borderId="44" xfId="0" applyFont="1" applyFill="1" applyBorder="1" applyAlignment="1">
      <alignment horizontal="center" vertical="center" wrapText="1"/>
    </xf>
    <xf numFmtId="0" fontId="55" fillId="4" borderId="6" xfId="0" applyFont="1" applyFill="1" applyBorder="1" applyAlignment="1">
      <alignment horizontal="center" vertical="center" wrapText="1"/>
    </xf>
    <xf numFmtId="0" fontId="55" fillId="4" borderId="0" xfId="0" applyFont="1" applyFill="1" applyAlignment="1">
      <alignment horizontal="center" vertical="center" wrapText="1"/>
    </xf>
    <xf numFmtId="0" fontId="55" fillId="4" borderId="45" xfId="0" applyFont="1" applyFill="1" applyBorder="1" applyAlignment="1">
      <alignment horizontal="center" vertical="center" wrapText="1"/>
    </xf>
    <xf numFmtId="0" fontId="55" fillId="4" borderId="18" xfId="0" applyFont="1" applyFill="1" applyBorder="1" applyAlignment="1">
      <alignment horizontal="center" vertical="center" wrapText="1"/>
    </xf>
    <xf numFmtId="0" fontId="55" fillId="4" borderId="2" xfId="0" applyFont="1" applyFill="1" applyBorder="1" applyAlignment="1">
      <alignment horizontal="center" vertical="center" wrapText="1"/>
    </xf>
    <xf numFmtId="0" fontId="55" fillId="4" borderId="7" xfId="0" applyFont="1" applyFill="1" applyBorder="1" applyAlignment="1">
      <alignment horizontal="center" vertical="center" wrapText="1"/>
    </xf>
    <xf numFmtId="0" fontId="55" fillId="4" borderId="1" xfId="0" applyFont="1" applyFill="1" applyBorder="1" applyAlignment="1">
      <alignment horizontal="left" vertical="center" wrapText="1"/>
    </xf>
    <xf numFmtId="0" fontId="82" fillId="4" borderId="4" xfId="0" applyFont="1" applyFill="1" applyBorder="1" applyAlignment="1">
      <alignment horizontal="left"/>
    </xf>
    <xf numFmtId="0" fontId="82" fillId="4" borderId="41" xfId="0" applyFont="1" applyFill="1" applyBorder="1" applyAlignment="1">
      <alignment horizontal="left"/>
    </xf>
    <xf numFmtId="0" fontId="82" fillId="4" borderId="8" xfId="0" applyFont="1" applyFill="1" applyBorder="1" applyAlignment="1">
      <alignment horizontal="left"/>
    </xf>
    <xf numFmtId="0" fontId="64" fillId="4" borderId="1" xfId="0" applyFont="1" applyFill="1" applyBorder="1" applyAlignment="1">
      <alignment horizontal="left" wrapText="1"/>
    </xf>
    <xf numFmtId="0" fontId="63" fillId="4" borderId="1" xfId="0" applyFont="1" applyFill="1" applyBorder="1" applyAlignment="1" applyProtection="1">
      <alignment horizontal="left" vertical="center" wrapText="1"/>
      <protection locked="0"/>
    </xf>
    <xf numFmtId="0" fontId="63" fillId="4" borderId="1" xfId="0" applyFont="1" applyFill="1" applyBorder="1" applyAlignment="1">
      <alignment horizontal="left" vertical="center" wrapText="1"/>
    </xf>
    <xf numFmtId="0" fontId="0" fillId="0" borderId="1" xfId="0" applyBorder="1" applyAlignment="1">
      <alignment horizontal="left" wrapText="1"/>
    </xf>
    <xf numFmtId="0" fontId="55" fillId="4" borderId="1" xfId="0" applyFont="1" applyFill="1" applyBorder="1" applyAlignment="1">
      <alignment horizontal="center" vertical="center" wrapText="1"/>
    </xf>
    <xf numFmtId="0" fontId="62" fillId="4" borderId="1" xfId="0" applyFont="1" applyFill="1" applyBorder="1" applyAlignment="1">
      <alignment horizontal="center" vertical="center" wrapText="1"/>
    </xf>
    <xf numFmtId="0" fontId="0" fillId="4" borderId="1" xfId="0" applyFill="1" applyBorder="1" applyAlignment="1">
      <alignment horizontal="left" vertical="top" wrapText="1"/>
    </xf>
    <xf numFmtId="0" fontId="58" fillId="4" borderId="1" xfId="0" applyFont="1" applyFill="1" applyBorder="1" applyAlignment="1">
      <alignment horizontal="center" vertical="center" wrapText="1"/>
    </xf>
    <xf numFmtId="0" fontId="0" fillId="0" borderId="4"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14" borderId="59" xfId="0" applyFill="1" applyBorder="1" applyAlignment="1">
      <alignment horizontal="left"/>
    </xf>
    <xf numFmtId="0" fontId="0" fillId="14" borderId="71" xfId="0" applyFill="1" applyBorder="1" applyAlignment="1">
      <alignment horizontal="left"/>
    </xf>
    <xf numFmtId="0" fontId="0" fillId="14" borderId="73" xfId="0" applyFill="1" applyBorder="1" applyAlignment="1">
      <alignment horizontal="left"/>
    </xf>
    <xf numFmtId="0" fontId="0" fillId="14" borderId="74" xfId="0" applyFill="1" applyBorder="1" applyAlignment="1">
      <alignment horizontal="left"/>
    </xf>
    <xf numFmtId="0" fontId="11" fillId="33" borderId="175" xfId="0" applyFont="1" applyFill="1" applyBorder="1" applyAlignment="1">
      <alignment horizontal="left"/>
    </xf>
    <xf numFmtId="0" fontId="11" fillId="33" borderId="43" xfId="0" applyFont="1" applyFill="1" applyBorder="1" applyAlignment="1">
      <alignment horizontal="left"/>
    </xf>
    <xf numFmtId="0" fontId="11" fillId="33" borderId="44" xfId="0" applyFont="1" applyFill="1" applyBorder="1" applyAlignment="1">
      <alignment horizontal="left"/>
    </xf>
    <xf numFmtId="176" fontId="0" fillId="4" borderId="4" xfId="0" applyNumberFormat="1" applyFill="1" applyBorder="1" applyAlignment="1">
      <alignment horizontal="center" wrapText="1"/>
    </xf>
    <xf numFmtId="176" fontId="0" fillId="4" borderId="8" xfId="0" applyNumberFormat="1" applyFill="1" applyBorder="1" applyAlignment="1">
      <alignment horizontal="center" wrapText="1"/>
    </xf>
    <xf numFmtId="0" fontId="0" fillId="14" borderId="63" xfId="0" applyFill="1" applyBorder="1" applyAlignment="1">
      <alignment horizontal="left"/>
    </xf>
    <xf numFmtId="0" fontId="0" fillId="14" borderId="64" xfId="0" applyFill="1" applyBorder="1" applyAlignment="1">
      <alignment horizontal="left"/>
    </xf>
    <xf numFmtId="0" fontId="0" fillId="14" borderId="80" xfId="0" applyFill="1" applyBorder="1" applyAlignment="1">
      <alignment horizontal="left"/>
    </xf>
    <xf numFmtId="0" fontId="0" fillId="14" borderId="87" xfId="0" applyFill="1" applyBorder="1" applyAlignment="1">
      <alignment horizontal="left"/>
    </xf>
    <xf numFmtId="0" fontId="0" fillId="14" borderId="88" xfId="0" applyFill="1" applyBorder="1" applyAlignment="1">
      <alignment horizontal="left"/>
    </xf>
    <xf numFmtId="0" fontId="0" fillId="14" borderId="89" xfId="0" applyFill="1" applyBorder="1" applyAlignment="1">
      <alignment horizontal="left"/>
    </xf>
    <xf numFmtId="0" fontId="0" fillId="14" borderId="68" xfId="0" applyFill="1" applyBorder="1" applyAlignment="1">
      <alignment horizontal="left"/>
    </xf>
    <xf numFmtId="0" fontId="0" fillId="14" borderId="69" xfId="0" applyFill="1" applyBorder="1" applyAlignment="1">
      <alignment horizontal="left"/>
    </xf>
    <xf numFmtId="44" fontId="0" fillId="14" borderId="87" xfId="5" applyFont="1" applyFill="1" applyBorder="1" applyAlignment="1">
      <alignment horizontal="left"/>
    </xf>
    <xf numFmtId="44" fontId="0" fillId="14" borderId="88" xfId="5" applyFont="1" applyFill="1" applyBorder="1" applyAlignment="1">
      <alignment horizontal="left"/>
    </xf>
    <xf numFmtId="44" fontId="0" fillId="14" borderId="89" xfId="5" applyFont="1" applyFill="1" applyBorder="1" applyAlignment="1">
      <alignment horizontal="left"/>
    </xf>
    <xf numFmtId="44" fontId="0" fillId="14" borderId="81" xfId="5" applyFont="1" applyFill="1" applyBorder="1" applyAlignment="1">
      <alignment horizontal="left"/>
    </xf>
    <xf numFmtId="44" fontId="0" fillId="14" borderId="66" xfId="5" applyFont="1" applyFill="1" applyBorder="1" applyAlignment="1">
      <alignment horizontal="left"/>
    </xf>
    <xf numFmtId="44" fontId="0" fillId="14" borderId="75" xfId="5" applyFont="1" applyFill="1" applyBorder="1" applyAlignment="1">
      <alignment horizontal="left"/>
    </xf>
    <xf numFmtId="0" fontId="11" fillId="33" borderId="174" xfId="0" applyFont="1" applyFill="1" applyBorder="1" applyAlignment="1">
      <alignment horizontal="left"/>
    </xf>
    <xf numFmtId="0" fontId="11" fillId="33" borderId="78" xfId="0" applyFont="1" applyFill="1" applyBorder="1" applyAlignment="1">
      <alignment horizontal="left"/>
    </xf>
    <xf numFmtId="0" fontId="11" fillId="33" borderId="79" xfId="0" applyFont="1" applyFill="1" applyBorder="1" applyAlignment="1">
      <alignment horizontal="left"/>
    </xf>
    <xf numFmtId="176" fontId="0" fillId="4" borderId="4" xfId="5" applyNumberFormat="1" applyFont="1" applyFill="1" applyBorder="1" applyAlignment="1">
      <alignment horizontal="center" wrapText="1"/>
    </xf>
    <xf numFmtId="176" fontId="0" fillId="4" borderId="8" xfId="5" applyNumberFormat="1" applyFont="1" applyFill="1" applyBorder="1" applyAlignment="1">
      <alignment horizontal="center" wrapText="1"/>
    </xf>
    <xf numFmtId="0" fontId="0" fillId="14" borderId="175" xfId="0" applyFill="1" applyBorder="1" applyAlignment="1">
      <alignment horizontal="center" wrapText="1"/>
    </xf>
    <xf numFmtId="0" fontId="0" fillId="14" borderId="43" xfId="0" applyFill="1" applyBorder="1" applyAlignment="1">
      <alignment horizontal="center" wrapText="1"/>
    </xf>
    <xf numFmtId="0" fontId="0" fillId="14" borderId="44" xfId="0" applyFill="1" applyBorder="1" applyAlignment="1">
      <alignment horizontal="center" wrapText="1"/>
    </xf>
    <xf numFmtId="0" fontId="0" fillId="14" borderId="150" xfId="0" applyFill="1" applyBorder="1" applyAlignment="1">
      <alignment horizontal="center" wrapText="1"/>
    </xf>
    <xf numFmtId="0" fontId="0" fillId="14" borderId="0" xfId="0" applyFill="1" applyAlignment="1">
      <alignment horizontal="center" wrapText="1"/>
    </xf>
    <xf numFmtId="0" fontId="0" fillId="14" borderId="45" xfId="0" applyFill="1" applyBorder="1" applyAlignment="1">
      <alignment horizontal="center" wrapText="1"/>
    </xf>
    <xf numFmtId="0" fontId="0" fillId="14" borderId="176" xfId="0" applyFill="1" applyBorder="1" applyAlignment="1">
      <alignment horizontal="center" wrapText="1"/>
    </xf>
    <xf numFmtId="0" fontId="0" fillId="14" borderId="2" xfId="0" applyFill="1" applyBorder="1" applyAlignment="1">
      <alignment horizontal="center" wrapText="1"/>
    </xf>
    <xf numFmtId="0" fontId="0" fillId="14" borderId="7" xfId="0" applyFill="1" applyBorder="1" applyAlignment="1">
      <alignment horizontal="center" wrapText="1"/>
    </xf>
    <xf numFmtId="0" fontId="0" fillId="14" borderId="174" xfId="0" applyFill="1" applyBorder="1" applyAlignment="1">
      <alignment horizontal="left"/>
    </xf>
    <xf numFmtId="0" fontId="0" fillId="14" borderId="78" xfId="0" applyFill="1" applyBorder="1" applyAlignment="1">
      <alignment horizontal="left"/>
    </xf>
    <xf numFmtId="0" fontId="0" fillId="14" borderId="79" xfId="0" applyFill="1" applyBorder="1" applyAlignment="1">
      <alignment horizontal="left"/>
    </xf>
    <xf numFmtId="0" fontId="37" fillId="4" borderId="0" xfId="0" applyFont="1" applyFill="1" applyAlignment="1">
      <alignment horizontal="left" vertical="top" wrapText="1"/>
    </xf>
    <xf numFmtId="0" fontId="12" fillId="13" borderId="4" xfId="0" applyFont="1" applyFill="1" applyBorder="1" applyAlignment="1">
      <alignment horizontal="left" wrapText="1"/>
    </xf>
    <xf numFmtId="0" fontId="12" fillId="13" borderId="41" xfId="0" applyFont="1" applyFill="1" applyBorder="1" applyAlignment="1">
      <alignment horizontal="left" wrapText="1"/>
    </xf>
    <xf numFmtId="0" fontId="12" fillId="13" borderId="8" xfId="0" applyFont="1" applyFill="1" applyBorder="1" applyAlignment="1">
      <alignment horizontal="left" wrapText="1"/>
    </xf>
    <xf numFmtId="0" fontId="0" fillId="0" borderId="1" xfId="0" applyBorder="1" applyAlignment="1">
      <alignment horizontal="left" vertical="top" wrapText="1"/>
    </xf>
    <xf numFmtId="0" fontId="0" fillId="4" borderId="45" xfId="0" applyFill="1" applyBorder="1" applyAlignment="1">
      <alignment horizontal="left" vertical="center" wrapText="1"/>
    </xf>
    <xf numFmtId="0" fontId="11" fillId="19" borderId="68" xfId="0" applyFont="1" applyFill="1" applyBorder="1" applyAlignment="1">
      <alignment horizontal="center" vertical="center" wrapText="1"/>
    </xf>
    <xf numFmtId="0" fontId="11" fillId="19" borderId="69" xfId="0" applyFont="1" applyFill="1" applyBorder="1" applyAlignment="1">
      <alignment horizontal="center" vertical="center" wrapText="1"/>
    </xf>
    <xf numFmtId="0" fontId="11" fillId="19" borderId="147" xfId="0" applyFont="1" applyFill="1" applyBorder="1" applyAlignment="1">
      <alignment horizontal="center" vertical="center" wrapText="1"/>
    </xf>
    <xf numFmtId="0" fontId="11" fillId="19" borderId="149" xfId="0" applyFont="1" applyFill="1" applyBorder="1" applyAlignment="1">
      <alignment horizontal="center" vertical="center" wrapText="1"/>
    </xf>
    <xf numFmtId="0" fontId="0" fillId="4" borderId="17" xfId="0" applyFill="1" applyBorder="1" applyAlignment="1">
      <alignment horizontal="left" vertical="center" wrapText="1"/>
    </xf>
    <xf numFmtId="0" fontId="0" fillId="4" borderId="43" xfId="0" applyFill="1" applyBorder="1" applyAlignment="1">
      <alignment horizontal="left" vertical="center" wrapText="1"/>
    </xf>
    <xf numFmtId="0" fontId="0" fillId="4" borderId="44" xfId="0" applyFill="1" applyBorder="1" applyAlignment="1">
      <alignment horizontal="left" vertical="center" wrapText="1"/>
    </xf>
    <xf numFmtId="0" fontId="2" fillId="4" borderId="6" xfId="0" applyFont="1" applyFill="1" applyBorder="1" applyAlignment="1">
      <alignment horizontal="right" vertical="center" wrapText="1"/>
    </xf>
    <xf numFmtId="0" fontId="2" fillId="4" borderId="0" xfId="0" applyFont="1" applyFill="1" applyAlignment="1">
      <alignment horizontal="right" vertical="center" wrapText="1"/>
    </xf>
    <xf numFmtId="0" fontId="51" fillId="13" borderId="17" xfId="0" applyFont="1" applyFill="1" applyBorder="1" applyAlignment="1">
      <alignment horizontal="left"/>
    </xf>
    <xf numFmtId="0" fontId="51" fillId="13" borderId="43" xfId="0" applyFont="1" applyFill="1" applyBorder="1" applyAlignment="1">
      <alignment horizontal="left"/>
    </xf>
    <xf numFmtId="0" fontId="51" fillId="13" borderId="44" xfId="0" applyFont="1" applyFill="1" applyBorder="1" applyAlignment="1">
      <alignment horizontal="left"/>
    </xf>
    <xf numFmtId="0" fontId="11" fillId="19" borderId="67" xfId="0" applyFont="1" applyFill="1" applyBorder="1" applyAlignment="1">
      <alignment horizontal="left" vertical="center" wrapText="1"/>
    </xf>
    <xf numFmtId="0" fontId="11" fillId="19" borderId="68" xfId="0" applyFont="1" applyFill="1" applyBorder="1" applyAlignment="1">
      <alignment horizontal="left" vertical="center" wrapText="1"/>
    </xf>
    <xf numFmtId="0" fontId="11" fillId="19" borderId="72" xfId="0" applyFont="1" applyFill="1" applyBorder="1" applyAlignment="1">
      <alignment horizontal="left" vertical="center" wrapText="1"/>
    </xf>
    <xf numFmtId="0" fontId="11" fillId="19" borderId="73" xfId="0" applyFont="1" applyFill="1" applyBorder="1" applyAlignment="1">
      <alignment horizontal="left" vertical="center" wrapText="1"/>
    </xf>
    <xf numFmtId="0" fontId="2" fillId="2" borderId="18" xfId="6" applyFont="1" applyFill="1" applyBorder="1" applyAlignment="1">
      <alignment horizontal="left" vertical="center" wrapText="1"/>
    </xf>
    <xf numFmtId="0" fontId="2" fillId="2" borderId="145" xfId="6" applyFont="1" applyFill="1" applyBorder="1" applyAlignment="1">
      <alignment horizontal="left" vertical="center" wrapText="1"/>
    </xf>
    <xf numFmtId="0" fontId="53" fillId="4" borderId="0" xfId="0" quotePrefix="1" applyFont="1" applyFill="1" applyAlignment="1">
      <alignment horizontal="left" vertical="top" wrapText="1"/>
    </xf>
    <xf numFmtId="0" fontId="53" fillId="4" borderId="0" xfId="0" applyFont="1" applyFill="1" applyAlignment="1">
      <alignment horizontal="left" vertical="top" wrapText="1"/>
    </xf>
    <xf numFmtId="0" fontId="11" fillId="19" borderId="146" xfId="0" applyFont="1" applyFill="1" applyBorder="1" applyAlignment="1">
      <alignment horizontal="center" vertical="center" wrapText="1"/>
    </xf>
    <xf numFmtId="0" fontId="11" fillId="19" borderId="148" xfId="0" applyFont="1" applyFill="1" applyBorder="1" applyAlignment="1">
      <alignment horizontal="center" vertical="center" wrapText="1"/>
    </xf>
    <xf numFmtId="0" fontId="2" fillId="4" borderId="18"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0" fillId="4" borderId="7" xfId="0" applyFill="1" applyBorder="1" applyAlignment="1">
      <alignment horizontal="left" vertical="center" wrapText="1"/>
    </xf>
    <xf numFmtId="0" fontId="11" fillId="19" borderId="174" xfId="0" applyFont="1" applyFill="1" applyBorder="1" applyAlignment="1">
      <alignment horizontal="center" vertical="center" wrapText="1"/>
    </xf>
    <xf numFmtId="0" fontId="11" fillId="19" borderId="177" xfId="0" applyFont="1" applyFill="1" applyBorder="1" applyAlignment="1">
      <alignment horizontal="center" vertical="center" wrapText="1"/>
    </xf>
    <xf numFmtId="0" fontId="11" fillId="19" borderId="79" xfId="0" applyFont="1" applyFill="1" applyBorder="1" applyAlignment="1">
      <alignment horizontal="center" vertical="center" wrapText="1"/>
    </xf>
    <xf numFmtId="0" fontId="0" fillId="14" borderId="167" xfId="0" applyFill="1" applyBorder="1" applyAlignment="1">
      <alignment horizontal="left" vertical="center" wrapText="1"/>
    </xf>
    <xf numFmtId="0" fontId="0" fillId="14" borderId="170" xfId="0" applyFill="1" applyBorder="1" applyAlignment="1">
      <alignment horizontal="left" vertical="center" wrapText="1"/>
    </xf>
    <xf numFmtId="0" fontId="2" fillId="4" borderId="70" xfId="0" applyFont="1" applyFill="1" applyBorder="1" applyAlignment="1">
      <alignment horizontal="center" vertical="center" wrapText="1"/>
    </xf>
    <xf numFmtId="0" fontId="2" fillId="4" borderId="72" xfId="0" applyFont="1" applyFill="1" applyBorder="1" applyAlignment="1">
      <alignment horizontal="center" vertical="center" wrapText="1"/>
    </xf>
    <xf numFmtId="0" fontId="11" fillId="33" borderId="154" xfId="0" applyFont="1" applyFill="1" applyBorder="1" applyAlignment="1">
      <alignment horizontal="left"/>
    </xf>
    <xf numFmtId="0" fontId="11" fillId="33" borderId="155" xfId="0" applyFont="1" applyFill="1" applyBorder="1" applyAlignment="1">
      <alignment horizontal="left"/>
    </xf>
    <xf numFmtId="0" fontId="11" fillId="33" borderId="156" xfId="0" applyFont="1" applyFill="1" applyBorder="1" applyAlignment="1">
      <alignment horizontal="left"/>
    </xf>
    <xf numFmtId="0" fontId="0" fillId="4" borderId="61" xfId="0" applyFill="1" applyBorder="1" applyAlignment="1">
      <alignment horizontal="left"/>
    </xf>
    <xf numFmtId="0" fontId="0" fillId="4" borderId="62" xfId="0" applyFill="1" applyBorder="1" applyAlignment="1">
      <alignment horizontal="left"/>
    </xf>
    <xf numFmtId="0" fontId="0" fillId="4" borderId="158" xfId="0" applyFill="1" applyBorder="1" applyAlignment="1">
      <alignment horizontal="left"/>
    </xf>
    <xf numFmtId="0" fontId="0" fillId="4" borderId="0" xfId="0" applyFill="1" applyAlignment="1">
      <alignment horizontal="left" wrapText="1"/>
    </xf>
    <xf numFmtId="0" fontId="8" fillId="4" borderId="181" xfId="0" applyFont="1" applyFill="1" applyBorder="1" applyAlignment="1">
      <alignment horizontal="left" wrapText="1"/>
    </xf>
    <xf numFmtId="0" fontId="8" fillId="4" borderId="0" xfId="0" applyFont="1" applyFill="1" applyAlignment="1">
      <alignment horizontal="left" wrapText="1"/>
    </xf>
    <xf numFmtId="0" fontId="11" fillId="33" borderId="181" xfId="0" applyFont="1" applyFill="1" applyBorder="1" applyAlignment="1">
      <alignment horizontal="left" wrapText="1"/>
    </xf>
    <xf numFmtId="0" fontId="11" fillId="33" borderId="0" xfId="0" applyFont="1" applyFill="1" applyAlignment="1">
      <alignment horizontal="left" wrapText="1"/>
    </xf>
    <xf numFmtId="0" fontId="0" fillId="4" borderId="21" xfId="0" applyFill="1" applyBorder="1" applyAlignment="1">
      <alignment horizontal="left" wrapText="1"/>
    </xf>
    <xf numFmtId="0" fontId="0" fillId="4" borderId="3" xfId="0" applyFill="1" applyBorder="1" applyAlignment="1">
      <alignment horizontal="left" wrapText="1"/>
    </xf>
    <xf numFmtId="0" fontId="0" fillId="4" borderId="5" xfId="0" applyFill="1" applyBorder="1" applyAlignment="1">
      <alignment horizontal="left" wrapText="1"/>
    </xf>
    <xf numFmtId="0" fontId="0" fillId="16" borderId="43" xfId="0" applyFill="1" applyBorder="1" applyAlignment="1">
      <alignment horizontal="center" wrapText="1"/>
    </xf>
    <xf numFmtId="0" fontId="0" fillId="16" borderId="0" xfId="0" applyFill="1" applyAlignment="1">
      <alignment horizontal="center" wrapText="1"/>
    </xf>
    <xf numFmtId="0" fontId="0" fillId="16" borderId="2" xfId="0" applyFill="1" applyBorder="1" applyAlignment="1">
      <alignment horizontal="center" wrapText="1"/>
    </xf>
    <xf numFmtId="0" fontId="0" fillId="31" borderId="4" xfId="0" applyFill="1" applyBorder="1" applyAlignment="1">
      <alignment horizontal="center" vertical="center" wrapText="1"/>
    </xf>
    <xf numFmtId="0" fontId="0" fillId="31" borderId="41" xfId="0" applyFill="1" applyBorder="1" applyAlignment="1">
      <alignment horizontal="center" vertical="center" wrapText="1"/>
    </xf>
    <xf numFmtId="0" fontId="0" fillId="31" borderId="8" xfId="0" applyFill="1" applyBorder="1" applyAlignment="1">
      <alignment horizontal="center" vertical="center" wrapText="1"/>
    </xf>
    <xf numFmtId="0" fontId="2" fillId="0" borderId="207" xfId="0" applyFont="1" applyBorder="1" applyAlignment="1">
      <alignment horizontal="center" wrapText="1"/>
    </xf>
    <xf numFmtId="0" fontId="2" fillId="0" borderId="208" xfId="0" applyFont="1" applyBorder="1" applyAlignment="1">
      <alignment horizontal="center" wrapText="1"/>
    </xf>
    <xf numFmtId="0" fontId="2" fillId="0" borderId="209" xfId="0" applyFont="1" applyBorder="1" applyAlignment="1">
      <alignment horizontal="center" wrapText="1"/>
    </xf>
    <xf numFmtId="0" fontId="2" fillId="40" borderId="207" xfId="0" applyFont="1" applyFill="1" applyBorder="1" applyAlignment="1">
      <alignment horizontal="center"/>
    </xf>
    <xf numFmtId="0" fontId="2" fillId="40" borderId="208" xfId="0" applyFont="1" applyFill="1" applyBorder="1" applyAlignment="1">
      <alignment horizontal="center"/>
    </xf>
    <xf numFmtId="0" fontId="2" fillId="40" borderId="209" xfId="0" applyFont="1" applyFill="1" applyBorder="1" applyAlignment="1">
      <alignment horizontal="center"/>
    </xf>
    <xf numFmtId="0" fontId="2" fillId="0" borderId="199" xfId="0" applyFont="1" applyBorder="1" applyAlignment="1">
      <alignment horizontal="center"/>
    </xf>
    <xf numFmtId="0" fontId="2" fillId="0" borderId="200" xfId="0" applyFont="1" applyBorder="1" applyAlignment="1">
      <alignment horizontal="center"/>
    </xf>
    <xf numFmtId="0" fontId="2" fillId="0" borderId="201" xfId="0" applyFont="1" applyBorder="1" applyAlignment="1">
      <alignment horizontal="center"/>
    </xf>
    <xf numFmtId="0" fontId="2" fillId="0" borderId="199" xfId="0" applyFont="1" applyBorder="1" applyAlignment="1">
      <alignment horizontal="center" wrapText="1"/>
    </xf>
    <xf numFmtId="0" fontId="2" fillId="0" borderId="201" xfId="0" applyFont="1" applyBorder="1" applyAlignment="1">
      <alignment horizontal="center" wrapText="1"/>
    </xf>
    <xf numFmtId="0" fontId="2" fillId="0" borderId="30" xfId="0" applyFont="1" applyBorder="1" applyAlignment="1">
      <alignment horizontal="center"/>
    </xf>
    <xf numFmtId="0" fontId="2" fillId="0" borderId="222" xfId="0" applyFont="1" applyBorder="1" applyAlignment="1">
      <alignment horizontal="center"/>
    </xf>
    <xf numFmtId="0" fontId="2" fillId="0" borderId="223" xfId="0" applyFont="1" applyBorder="1" applyAlignment="1">
      <alignment horizontal="center"/>
    </xf>
    <xf numFmtId="0" fontId="2" fillId="0" borderId="224" xfId="0" applyFont="1" applyBorder="1" applyAlignment="1">
      <alignment horizontal="center"/>
    </xf>
    <xf numFmtId="0" fontId="2" fillId="0" borderId="225" xfId="0" applyFont="1" applyBorder="1" applyAlignment="1">
      <alignment horizontal="center"/>
    </xf>
    <xf numFmtId="0" fontId="0" fillId="0" borderId="34" xfId="0" applyBorder="1" applyAlignment="1">
      <alignment horizontal="center" vertical="center" wrapText="1"/>
    </xf>
    <xf numFmtId="0" fontId="0" fillId="0" borderId="45" xfId="0" applyBorder="1" applyAlignment="1">
      <alignment horizontal="center" vertical="center" wrapText="1"/>
    </xf>
    <xf numFmtId="0" fontId="0" fillId="0" borderId="38" xfId="0" applyBorder="1" applyAlignment="1">
      <alignment horizontal="center" vertical="center" wrapText="1"/>
    </xf>
    <xf numFmtId="0" fontId="0" fillId="0" borderId="46" xfId="0" applyBorder="1" applyAlignment="1">
      <alignment horizontal="center" vertical="center" wrapText="1"/>
    </xf>
    <xf numFmtId="0" fontId="0" fillId="0" borderId="0" xfId="0" applyAlignment="1">
      <alignment horizontal="center" vertical="center" wrapText="1"/>
    </xf>
    <xf numFmtId="0" fontId="0" fillId="0" borderId="40" xfId="0" applyBorder="1" applyAlignment="1">
      <alignment horizontal="center" vertical="center" wrapText="1"/>
    </xf>
    <xf numFmtId="0" fontId="0" fillId="0" borderId="30" xfId="0" applyBorder="1" applyAlignment="1">
      <alignment horizontal="center" vertical="center"/>
    </xf>
    <xf numFmtId="0" fontId="0" fillId="0" borderId="280" xfId="0" applyBorder="1" applyAlignment="1">
      <alignment horizontal="center" vertical="center"/>
    </xf>
    <xf numFmtId="0" fontId="0" fillId="0" borderId="34" xfId="0" applyBorder="1" applyAlignment="1">
      <alignment horizontal="center" vertical="center"/>
    </xf>
    <xf numFmtId="0" fontId="0" fillId="0" borderId="4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38" fillId="4" borderId="0" xfId="0" applyFont="1" applyFill="1" applyAlignment="1">
      <alignment horizontal="left" vertical="top" wrapText="1"/>
    </xf>
    <xf numFmtId="0" fontId="12" fillId="13" borderId="21" xfId="0" applyFont="1" applyFill="1" applyBorder="1" applyAlignment="1">
      <alignment horizontal="center" wrapText="1"/>
    </xf>
    <xf numFmtId="0" fontId="12" fillId="13" borderId="5" xfId="0" applyFont="1" applyFill="1" applyBorder="1" applyAlignment="1">
      <alignment horizontal="center" wrapText="1"/>
    </xf>
    <xf numFmtId="0" fontId="12" fillId="13" borderId="4" xfId="0" applyFont="1" applyFill="1" applyBorder="1" applyAlignment="1">
      <alignment horizontal="center" wrapText="1"/>
    </xf>
    <xf numFmtId="0" fontId="12" fillId="13" borderId="8" xfId="0" applyFont="1" applyFill="1" applyBorder="1" applyAlignment="1">
      <alignment horizontal="center" wrapText="1"/>
    </xf>
    <xf numFmtId="0" fontId="0" fillId="0" borderId="0" xfId="0" applyAlignment="1">
      <alignment horizontal="center"/>
    </xf>
    <xf numFmtId="0" fontId="0" fillId="5" borderId="25" xfId="0" applyFill="1" applyBorder="1" applyAlignment="1">
      <alignment horizontal="center" wrapText="1"/>
    </xf>
    <xf numFmtId="0" fontId="0" fillId="5" borderId="26" xfId="0" applyFill="1" applyBorder="1" applyAlignment="1">
      <alignment horizontal="center" wrapText="1"/>
    </xf>
    <xf numFmtId="0" fontId="0" fillId="5" borderId="42" xfId="0" applyFill="1" applyBorder="1" applyAlignment="1">
      <alignment horizontal="center" wrapText="1"/>
    </xf>
    <xf numFmtId="0" fontId="0" fillId="5" borderId="27" xfId="0" applyFill="1" applyBorder="1" applyAlignment="1">
      <alignment horizontal="center" wrapText="1"/>
    </xf>
    <xf numFmtId="0" fontId="0" fillId="0" borderId="41" xfId="0" applyBorder="1" applyAlignment="1">
      <alignment horizontal="left" wrapText="1"/>
    </xf>
    <xf numFmtId="0" fontId="2" fillId="0" borderId="0" xfId="0" applyFont="1" applyAlignment="1">
      <alignment horizontal="left" wrapText="1"/>
    </xf>
    <xf numFmtId="0" fontId="0" fillId="0" borderId="2" xfId="0" applyBorder="1" applyAlignment="1">
      <alignment horizontal="left" wrapText="1"/>
    </xf>
    <xf numFmtId="0" fontId="0" fillId="0" borderId="43" xfId="0" applyBorder="1" applyAlignment="1">
      <alignment horizontal="left" wrapText="1"/>
    </xf>
    <xf numFmtId="0" fontId="0" fillId="0" borderId="0" xfId="0" applyAlignment="1">
      <alignment horizontal="left" wrapText="1"/>
    </xf>
    <xf numFmtId="0" fontId="0" fillId="8" borderId="9" xfId="0" applyFill="1" applyBorder="1" applyAlignment="1">
      <alignment horizontal="center"/>
    </xf>
    <xf numFmtId="0" fontId="0" fillId="8" borderId="10" xfId="0" applyFill="1" applyBorder="1" applyAlignment="1">
      <alignment horizontal="center"/>
    </xf>
    <xf numFmtId="0" fontId="0" fillId="8" borderId="11"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34" fillId="0" borderId="41" xfId="0" applyFont="1" applyBorder="1" applyAlignment="1">
      <alignment vertical="top" wrapText="1"/>
    </xf>
    <xf numFmtId="0" fontId="34" fillId="0" borderId="8" xfId="0" applyFont="1" applyBorder="1" applyAlignment="1">
      <alignment vertical="top" wrapText="1"/>
    </xf>
    <xf numFmtId="0" fontId="0" fillId="0" borderId="8" xfId="0" applyBorder="1" applyAlignment="1">
      <alignment horizontal="left" wrapText="1"/>
    </xf>
    <xf numFmtId="0" fontId="0" fillId="0" borderId="44" xfId="0" applyBorder="1" applyAlignment="1">
      <alignment horizontal="left" wrapText="1"/>
    </xf>
    <xf numFmtId="0" fontId="0" fillId="0" borderId="7" xfId="0" applyBorder="1" applyAlignment="1">
      <alignment horizontal="left" wrapText="1"/>
    </xf>
    <xf numFmtId="0" fontId="0" fillId="0" borderId="45" xfId="0" applyBorder="1" applyAlignment="1">
      <alignment horizontal="lef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51" xfId="0" applyBorder="1" applyAlignment="1">
      <alignment horizontal="left" wrapText="1"/>
    </xf>
    <xf numFmtId="0" fontId="0" fillId="0" borderId="52" xfId="0" applyBorder="1" applyAlignment="1">
      <alignment horizontal="left" wrapText="1"/>
    </xf>
    <xf numFmtId="0" fontId="0" fillId="0" borderId="0" xfId="0" applyAlignment="1">
      <alignment horizontal="left" vertical="top" wrapText="1"/>
    </xf>
    <xf numFmtId="0" fontId="0" fillId="0" borderId="45" xfId="0" applyBorder="1" applyAlignment="1">
      <alignment horizontal="left" vertical="top" wrapText="1"/>
    </xf>
    <xf numFmtId="0" fontId="0" fillId="0" borderId="41" xfId="0" applyBorder="1" applyAlignment="1">
      <alignment horizontal="center" wrapText="1"/>
    </xf>
    <xf numFmtId="0" fontId="0" fillId="0" borderId="8" xfId="0" applyBorder="1" applyAlignment="1">
      <alignment horizontal="center" wrapText="1"/>
    </xf>
    <xf numFmtId="0" fontId="29" fillId="22" borderId="6" xfId="0" applyFont="1" applyFill="1" applyBorder="1" applyAlignment="1"/>
    <xf numFmtId="0" fontId="29" fillId="22" borderId="0" xfId="0" applyFont="1" applyFill="1" applyAlignment="1"/>
    <xf numFmtId="0" fontId="29" fillId="22" borderId="4" xfId="0" applyFont="1" applyFill="1" applyBorder="1" applyAlignment="1"/>
    <xf numFmtId="0" fontId="29" fillId="22" borderId="41" xfId="0" applyFont="1" applyFill="1" applyBorder="1" applyAlignment="1"/>
    <xf numFmtId="0" fontId="29" fillId="22" borderId="54" xfId="0" applyFont="1" applyFill="1" applyBorder="1" applyAlignment="1"/>
  </cellXfs>
  <cellStyles count="10">
    <cellStyle name="Body: normal cell" xfId="7" xr:uid="{01402BC2-B529-4B57-80BA-225F3FA1C6CB}"/>
    <cellStyle name="Comma" xfId="1" builtinId="3"/>
    <cellStyle name="Currency" xfId="5" builtinId="4"/>
    <cellStyle name="Hyperlink" xfId="8" builtinId="8"/>
    <cellStyle name="Normal" xfId="0" builtinId="0"/>
    <cellStyle name="Normal 17" xfId="9" xr:uid="{28BA3688-6E64-4D9C-8926-381028C64949}"/>
    <cellStyle name="Normal 2" xfId="4" xr:uid="{490C14BB-5405-445D-B9BE-47AB0B837F48}"/>
    <cellStyle name="Normal 7" xfId="3" xr:uid="{21453ED4-6383-45E3-9AB3-B40A0EA98F5C}"/>
    <cellStyle name="Parent row" xfId="6" xr:uid="{610C223F-4D32-477C-863C-934F67ADE8D4}"/>
    <cellStyle name="Percent" xfId="2" builtinId="5"/>
  </cellStyles>
  <dxfs count="80">
    <dxf>
      <font>
        <color theme="0" tint="-0.34998626667073579"/>
      </font>
    </dxf>
    <dxf>
      <font>
        <color theme="0" tint="-0.499984740745262"/>
      </font>
    </dxf>
    <dxf>
      <font>
        <color theme="0"/>
      </font>
      <fill>
        <patternFill>
          <bgColor theme="0"/>
        </patternFill>
      </fill>
      <border>
        <left/>
        <right/>
        <top/>
        <bottom/>
        <vertical/>
        <horizontal/>
      </border>
    </dxf>
    <dxf>
      <font>
        <color theme="0" tint="-0.34998626667073579"/>
      </font>
    </dxf>
    <dxf>
      <font>
        <b/>
        <i val="0"/>
        <color theme="4" tint="-0.24994659260841701"/>
      </font>
    </dxf>
    <dxf>
      <font>
        <b val="0"/>
        <i val="0"/>
        <color auto="1"/>
      </font>
      <fill>
        <patternFill>
          <bgColor theme="7" tint="0.79998168889431442"/>
        </patternFill>
      </fill>
    </dxf>
    <dxf>
      <font>
        <color theme="0" tint="-0.34998626667073579"/>
      </font>
    </dxf>
    <dxf>
      <font>
        <color theme="0" tint="-0.499984740745262"/>
      </font>
    </dxf>
    <dxf>
      <font>
        <color theme="0" tint="-0.34998626667073579"/>
      </font>
    </dxf>
    <dxf>
      <font>
        <color theme="0" tint="-0.499984740745262"/>
      </font>
    </dxf>
    <dxf>
      <fill>
        <patternFill>
          <bgColor theme="7" tint="0.39994506668294322"/>
        </patternFill>
      </fill>
    </dxf>
    <dxf>
      <fill>
        <patternFill>
          <bgColor theme="7" tint="0.39994506668294322"/>
        </patternFill>
      </fill>
    </dxf>
    <dxf>
      <font>
        <color theme="0" tint="-0.34998626667073579"/>
      </font>
    </dxf>
    <dxf>
      <font>
        <b/>
        <i val="0"/>
        <color theme="4" tint="-0.24994659260841701"/>
      </font>
    </dxf>
    <dxf>
      <font>
        <b val="0"/>
        <i val="0"/>
        <color auto="1"/>
      </font>
      <fill>
        <patternFill>
          <bgColor theme="7" tint="0.7999816888943144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ont>
        <b/>
        <i val="0"/>
      </font>
      <fill>
        <patternFill patternType="solid">
          <bgColor theme="0" tint="-0.14996795556505021"/>
        </patternFill>
      </fill>
    </dxf>
    <dxf>
      <font>
        <b/>
        <i val="0"/>
      </font>
      <fill>
        <patternFill patternType="solid">
          <bgColor theme="0" tint="-0.14996795556505021"/>
        </patternFill>
      </fill>
    </dxf>
    <dxf>
      <font>
        <b/>
        <i val="0"/>
      </font>
      <fill>
        <patternFill patternType="solid">
          <bgColor theme="0" tint="-0.14996795556505021"/>
        </patternFill>
      </fill>
    </dxf>
    <dxf>
      <font>
        <b/>
        <i val="0"/>
      </font>
      <fill>
        <patternFill patternType="solid">
          <bgColor theme="0" tint="-0.14996795556505021"/>
        </patternFill>
      </fill>
    </dxf>
    <dxf>
      <font>
        <b/>
        <i val="0"/>
      </font>
      <fill>
        <patternFill patternType="solid">
          <bgColor theme="0" tint="-0.14996795556505021"/>
        </patternFill>
      </fill>
    </dxf>
    <dxf>
      <font>
        <b/>
        <i val="0"/>
      </font>
      <fill>
        <patternFill patternType="solid">
          <bgColor theme="0" tint="-0.14996795556505021"/>
        </patternFill>
      </fill>
    </dxf>
    <dxf>
      <font>
        <b/>
        <i val="0"/>
      </font>
      <fill>
        <patternFill patternType="solid">
          <bgColor theme="0" tint="-0.14996795556505021"/>
        </patternFill>
      </fill>
    </dxf>
    <dxf>
      <font>
        <b/>
        <i val="0"/>
        <color rgb="FFFF0000"/>
      </font>
      <fill>
        <patternFill patternType="solid">
          <bgColor theme="0"/>
        </patternFill>
      </fill>
    </dxf>
    <dxf>
      <font>
        <b/>
        <i val="0"/>
        <color rgb="FFFF0000"/>
      </font>
      <fill>
        <patternFill patternType="solid">
          <bgColor theme="0"/>
        </patternFill>
      </fill>
    </dxf>
    <dxf>
      <font>
        <b/>
        <i val="0"/>
        <color rgb="FFFF0000"/>
      </font>
      <fill>
        <patternFill patternType="solid">
          <bgColor theme="0"/>
        </patternFill>
      </fill>
    </dxf>
    <dxf>
      <font>
        <b/>
        <i val="0"/>
      </font>
      <fill>
        <patternFill patternType="solid">
          <bgColor theme="0" tint="-0.14996795556505021"/>
        </patternFill>
      </fill>
    </dxf>
    <dxf>
      <font>
        <color theme="0" tint="-0.34998626667073579"/>
      </font>
      <fill>
        <patternFill>
          <bgColor theme="1" tint="0.499984740745262"/>
        </patternFill>
      </fill>
    </dxf>
    <dxf>
      <font>
        <color theme="1"/>
      </font>
      <fill>
        <patternFill>
          <bgColor theme="4" tint="0.39994506668294322"/>
        </patternFill>
      </fill>
    </dxf>
    <dxf>
      <font>
        <color auto="1"/>
      </font>
      <fill>
        <patternFill>
          <bgColor theme="5" tint="0.39994506668294322"/>
        </patternFill>
      </fill>
    </dxf>
    <dxf>
      <font>
        <color theme="0" tint="-0.34998626667073579"/>
      </font>
      <fill>
        <patternFill>
          <bgColor theme="1" tint="0.499984740745262"/>
        </patternFill>
      </fill>
    </dxf>
    <dxf>
      <fill>
        <patternFill>
          <bgColor theme="5" tint="0.39994506668294322"/>
        </patternFill>
      </fill>
    </dxf>
    <dxf>
      <fill>
        <patternFill>
          <bgColor theme="5" tint="0.39994506668294322"/>
        </patternFill>
      </fill>
    </dxf>
    <dxf>
      <font>
        <color theme="0"/>
      </font>
      <fill>
        <patternFill>
          <bgColor theme="0"/>
        </patternFill>
      </fill>
      <border>
        <left/>
        <right/>
        <top/>
        <bottom/>
        <vertical/>
        <horizontal/>
      </border>
    </dxf>
    <dxf>
      <fill>
        <patternFill>
          <bgColor theme="0" tint="-4.9989318521683403E-2"/>
        </patternFill>
      </fill>
    </dxf>
    <dxf>
      <fill>
        <patternFill>
          <bgColor theme="0" tint="-0.24994659260841701"/>
        </patternFill>
      </fill>
    </dxf>
    <dxf>
      <font>
        <color theme="0" tint="-0.34998626667073579"/>
      </font>
      <fill>
        <patternFill>
          <bgColor theme="2" tint="-0.49998474074526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theme="1"/>
      </font>
    </dxf>
    <dxf>
      <font>
        <color theme="1"/>
      </font>
    </dxf>
    <dxf>
      <font>
        <color theme="1"/>
      </font>
    </dxf>
    <dxf>
      <font>
        <color theme="1"/>
      </font>
    </dxf>
    <dxf>
      <font>
        <color auto="1"/>
      </font>
    </dxf>
    <dxf>
      <font>
        <color theme="1"/>
      </font>
      <fill>
        <patternFill>
          <bgColor theme="0"/>
        </patternFill>
      </fill>
    </dxf>
    <dxf>
      <font>
        <color theme="1"/>
      </font>
      <fill>
        <patternFill>
          <bgColor theme="0"/>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patternType="none">
          <bgColor auto="1"/>
        </patternFill>
      </fill>
    </dxf>
    <dxf>
      <font>
        <color auto="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34998626667073579"/>
      </font>
    </dxf>
    <dxf>
      <font>
        <b/>
        <i val="0"/>
        <color theme="4" tint="-0.24994659260841701"/>
      </font>
    </dxf>
    <dxf>
      <font>
        <b val="0"/>
        <i val="0"/>
        <color auto="1"/>
      </font>
      <fill>
        <patternFill>
          <bgColor theme="7" tint="0.79998168889431442"/>
        </patternFill>
      </fill>
    </dxf>
    <dxf>
      <numFmt numFmtId="166" formatCode="_(* #,##0_);_(* \(#,##0\);_(* &quot;-&quot;??_);_(@_)"/>
    </dxf>
    <dxf>
      <alignment wrapText="1"/>
    </dxf>
    <dxf>
      <alignment wrapText="1"/>
    </dxf>
    <dxf>
      <alignment wrapText="1"/>
    </dxf>
    <dxf>
      <numFmt numFmtId="166" formatCode="_(* #,##0_);_(* \(#,##0\);_(* &quot;-&quot;??_);_(@_)"/>
    </dxf>
    <dxf>
      <numFmt numFmtId="166" formatCode="_(* #,##0_);_(* \(#,##0\);_(* &quot;-&quot;??_);_(@_)"/>
    </dxf>
    <dxf>
      <numFmt numFmtId="166"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sharedStrings" Target="sharedStrings.xml"/><Relationship Id="rId35" Type="http://schemas.openxmlformats.org/officeDocument/2006/relationships/customXml" Target="../customXml/item3.xml"/><Relationship Id="rId8" Type="http://schemas.openxmlformats.org/officeDocument/2006/relationships/worksheet" Target="worksheets/sheet8.xml"/></Relationships>
</file>

<file path=xl/persons/person.xml><?xml version="1.0" encoding="utf-8"?>
<personList xmlns="http://schemas.microsoft.com/office/spreadsheetml/2018/threadedcomments" xmlns:x="http://schemas.openxmlformats.org/spreadsheetml/2006/main">
  <person displayName="Zagura, Lisa" id="{78DB80B7-4190-4759-A164-974FB0BE0B2A}" userId="S::lisa.zagura@eversource.com::7f2e1238-f03d-444c-92ab-b83428b99ccd" providerId="AD"/>
</personList>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2023_Prescriptive_BMS_Calculator_DRAFT_V1.1_unlocked.xlsx#BgEIDA4ADAMGBAcBBAQECw=388.0"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ougher, Whitney" refreshedDate="44712.644052430558" createdVersion="6" refreshedVersion="7" minRefreshableVersion="3" recordCount="25" xr:uid="{E171695A-132F-4FB3-B8F0-B8D209BF72EB}">
  <cacheSource type="worksheet">
    <worksheetSource ref="A4:N29" sheet="Building Savings" r:id="rId2"/>
  </cacheSource>
  <cacheFields count="16">
    <cacheField name="Project #" numFmtId="0">
      <sharedItems containsMixedTypes="1" containsNumber="1" containsInteger="1" minValue="1" maxValue="24"/>
    </cacheField>
    <cacheField name="Building Type" numFmtId="0">
      <sharedItems/>
    </cacheField>
    <cacheField name="Project Area (sqft)" numFmtId="166">
      <sharedItems containsSemiMixedTypes="0" containsString="0" containsNumber="1" containsInteger="1" minValue="7774" maxValue="351063"/>
    </cacheField>
    <cacheField name="Savings Category" numFmtId="166">
      <sharedItems containsMixedTypes="1" containsNumber="1" containsInteger="1" minValue="0" maxValue="0" count="3">
        <s v="Cooling, pumps/fans"/>
        <s v="Heating"/>
        <n v="0" u="1"/>
      </sharedItems>
    </cacheField>
    <cacheField name="Pre Consumption" numFmtId="166">
      <sharedItems containsString="0" containsBlank="1" containsNumber="1" containsInteger="1" minValue="38840" maxValue="4593120"/>
    </cacheField>
    <cacheField name="Post Consumption " numFmtId="166">
      <sharedItems containsString="0" containsBlank="1" containsNumber="1" containsInteger="1" minValue="36200" maxValue="4459680"/>
    </cacheField>
    <cacheField name="Bill Savings" numFmtId="166">
      <sharedItems containsString="0" containsBlank="1" containsNumber="1" containsInteger="1" minValue="-15048" maxValue="517320"/>
    </cacheField>
    <cacheField name="Pre Consumption2" numFmtId="166">
      <sharedItems containsString="0" containsBlank="1" containsNumber="1" containsInteger="1" minValue="4380" maxValue="51181"/>
    </cacheField>
    <cacheField name="Post Consumption 2" numFmtId="166">
      <sharedItems containsString="0" containsBlank="1" containsNumber="1" containsInteger="1" minValue="5118" maxValue="49371"/>
    </cacheField>
    <cacheField name="Pre - Wx Normalized" numFmtId="166">
      <sharedItems containsString="0" containsBlank="1" containsNumber="1" minValue="4380.4817230987419" maxValue="51180.952260738515"/>
    </cacheField>
    <cacheField name="Post - Wx Normalized" numFmtId="166">
      <sharedItems containsString="0" containsBlank="1" containsNumber="1" minValue="4892.7210459873768" maxValue="48458.180068337133"/>
    </cacheField>
    <cacheField name="Bill Savings - Wx Normalized" numFmtId="166">
      <sharedItems containsString="0" containsBlank="1" containsNumber="1" minValue="-3605.290383478703" maxValue="4370.1368266552563"/>
    </cacheField>
    <cacheField name="Electric (kWh/sqft)" numFmtId="43">
      <sharedItems containsSemiMixedTypes="0" containsString="0" containsNumber="1" minValue="0" maxValue="23.508614232209737"/>
    </cacheField>
    <cacheField name="Gas (therm/sqft)" numFmtId="43">
      <sharedItems containsSemiMixedTypes="0" containsString="0" containsNumber="1" minValue="0" maxValue="0.85576727189421897"/>
    </cacheField>
    <cacheField name="Annual kWh" numFmtId="166">
      <sharedItems containsString="0" containsBlank="1" containsNumber="1" containsInteger="1" minValue="186" maxValue="61973"/>
    </cacheField>
    <cacheField name="Annual Therms" numFmtId="166">
      <sharedItems containsString="0" containsBlank="1" containsNumber="1" containsInteger="1" minValue="85" maxValue="99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n v="1"/>
    <s v="Library"/>
    <n v="32000"/>
    <x v="0"/>
    <n v="352680"/>
    <n v="367728"/>
    <n v="-15048"/>
    <m/>
    <m/>
    <m/>
    <m/>
    <m/>
    <n v="11.02125"/>
    <n v="0"/>
    <n v="1689"/>
    <m/>
  </r>
  <r>
    <n v="2"/>
    <s v="Library"/>
    <n v="27500"/>
    <x v="0"/>
    <n v="373056"/>
    <n v="248460"/>
    <n v="124596"/>
    <m/>
    <m/>
    <m/>
    <m/>
    <m/>
    <n v="13.565672727272727"/>
    <n v="0"/>
    <n v="5033"/>
    <m/>
  </r>
  <r>
    <n v="3"/>
    <s v="Library"/>
    <n v="31900"/>
    <x v="0"/>
    <n v="315460"/>
    <n v="232320"/>
    <n v="83140"/>
    <m/>
    <m/>
    <m/>
    <m/>
    <m/>
    <n v="9.889028213166144"/>
    <n v="0"/>
    <n v="4256"/>
    <m/>
  </r>
  <r>
    <s v="4a"/>
    <s v="Library"/>
    <n v="16345"/>
    <x v="0"/>
    <n v="76200"/>
    <n v="59880"/>
    <n v="16320"/>
    <m/>
    <m/>
    <m/>
    <m/>
    <m/>
    <n v="4.6619761394921992"/>
    <n v="0"/>
    <n v="365"/>
    <m/>
  </r>
  <r>
    <n v="5"/>
    <s v="Office"/>
    <n v="155593"/>
    <x v="0"/>
    <n v="2825280"/>
    <n v="2519280"/>
    <n v="306000"/>
    <m/>
    <m/>
    <m/>
    <m/>
    <m/>
    <n v="18.158143361205195"/>
    <n v="0"/>
    <n v="38120"/>
    <m/>
  </r>
  <r>
    <n v="6"/>
    <s v="Office"/>
    <n v="133500"/>
    <x v="0"/>
    <n v="3138400"/>
    <n v="2629958"/>
    <n v="508442"/>
    <m/>
    <m/>
    <m/>
    <m/>
    <m/>
    <n v="23.508614232209737"/>
    <n v="0"/>
    <n v="42345"/>
    <m/>
  </r>
  <r>
    <n v="7"/>
    <s v="Office"/>
    <n v="114421"/>
    <x v="0"/>
    <n v="1141200"/>
    <n v="1005120"/>
    <n v="136080"/>
    <m/>
    <m/>
    <m/>
    <m/>
    <m/>
    <n v="9.9736936401534688"/>
    <n v="0"/>
    <n v="5464"/>
    <m/>
  </r>
  <r>
    <n v="8"/>
    <s v="Office"/>
    <n v="118000"/>
    <x v="0"/>
    <n v="352395"/>
    <n v="326965"/>
    <n v="25430"/>
    <m/>
    <m/>
    <m/>
    <m/>
    <m/>
    <n v="2.9863983050847458"/>
    <n v="0"/>
    <n v="1687"/>
    <m/>
  </r>
  <r>
    <n v="9"/>
    <s v="Office"/>
    <n v="173000"/>
    <x v="0"/>
    <n v="835300"/>
    <n v="755652"/>
    <n v="79648"/>
    <m/>
    <m/>
    <m/>
    <m/>
    <m/>
    <n v="4.8283236994219649"/>
    <n v="0"/>
    <n v="3999"/>
    <m/>
  </r>
  <r>
    <n v="10"/>
    <s v="Office"/>
    <n v="90000"/>
    <x v="0"/>
    <n v="1933260"/>
    <n v="1415940"/>
    <n v="517320"/>
    <m/>
    <m/>
    <m/>
    <m/>
    <m/>
    <n v="21.480666666666668"/>
    <n v="0"/>
    <n v="26085"/>
    <m/>
  </r>
  <r>
    <n v="11"/>
    <s v="Office"/>
    <n v="351063"/>
    <x v="0"/>
    <n v="4593120"/>
    <n v="4459680"/>
    <n v="133440"/>
    <m/>
    <m/>
    <m/>
    <m/>
    <m/>
    <n v="13.083463651823177"/>
    <n v="0"/>
    <n v="61973"/>
    <m/>
  </r>
  <r>
    <n v="12"/>
    <s v="Senior Center"/>
    <n v="8250"/>
    <x v="0"/>
    <n v="38840"/>
    <n v="36200"/>
    <n v="2640"/>
    <m/>
    <m/>
    <m/>
    <m/>
    <m/>
    <n v="4.707878787878788"/>
    <n v="0"/>
    <n v="186"/>
    <m/>
  </r>
  <r>
    <n v="13"/>
    <s v="Town Hall"/>
    <n v="24144"/>
    <x v="0"/>
    <n v="162720"/>
    <n v="148320"/>
    <n v="14400"/>
    <m/>
    <m/>
    <m/>
    <m/>
    <m/>
    <n v="6.7395626242544733"/>
    <n v="0"/>
    <n v="779"/>
    <m/>
  </r>
  <r>
    <n v="14"/>
    <s v="Town Hall"/>
    <n v="15600"/>
    <x v="0"/>
    <n v="93120"/>
    <n v="93360"/>
    <n v="-240"/>
    <m/>
    <m/>
    <m/>
    <m/>
    <m/>
    <n v="5.9692307692307693"/>
    <n v="0"/>
    <n v="446"/>
    <m/>
  </r>
  <r>
    <n v="15"/>
    <s v="Town Hall"/>
    <n v="14000"/>
    <x v="0"/>
    <n v="124320"/>
    <n v="120960"/>
    <n v="3360"/>
    <m/>
    <m/>
    <m/>
    <m/>
    <m/>
    <n v="8.8800000000000008"/>
    <n v="0"/>
    <n v="595"/>
    <m/>
  </r>
  <r>
    <n v="16"/>
    <s v="Town Hall"/>
    <n v="26908"/>
    <x v="0"/>
    <n v="181600"/>
    <n v="172320"/>
    <n v="9280"/>
    <m/>
    <m/>
    <m/>
    <m/>
    <m/>
    <n v="6.7489222536048761"/>
    <n v="0"/>
    <n v="869"/>
    <m/>
  </r>
  <r>
    <s v="4b"/>
    <s v="Library"/>
    <n v="16345"/>
    <x v="1"/>
    <m/>
    <m/>
    <m/>
    <n v="6211"/>
    <n v="5247"/>
    <n v="6211.3761263897022"/>
    <n v="4892.7210459873768"/>
    <n v="1318.6550804023254"/>
    <n v="0"/>
    <n v="0.38001689363044983"/>
    <m/>
    <n v="120"/>
  </r>
  <r>
    <n v="17"/>
    <s v="Library"/>
    <n v="14000"/>
    <x v="1"/>
    <m/>
    <m/>
    <m/>
    <n v="9558"/>
    <n v="7088"/>
    <n v="9557.8072837022137"/>
    <n v="6775.5985949343694"/>
    <n v="2782.2086887678443"/>
    <n v="0"/>
    <n v="0.68270052026444383"/>
    <m/>
    <n v="186"/>
  </r>
  <r>
    <n v="18"/>
    <s v="Library"/>
    <n v="22600"/>
    <x v="1"/>
    <m/>
    <m/>
    <m/>
    <n v="15469"/>
    <n v="11903"/>
    <n v="15469.442832065537"/>
    <n v="11099.306005410281"/>
    <n v="4370.1368266552563"/>
    <n v="0"/>
    <n v="0.68448862088785567"/>
    <m/>
    <n v="300"/>
  </r>
  <r>
    <n v="19"/>
    <s v="Senior Center"/>
    <n v="14717"/>
    <x v="1"/>
    <m/>
    <m/>
    <m/>
    <n v="12594"/>
    <n v="9152"/>
    <n v="12594.326940467221"/>
    <n v="8982.7887623386487"/>
    <n v="3611.5381781285723"/>
    <n v="0"/>
    <n v="0.85576727189421897"/>
    <m/>
    <n v="244"/>
  </r>
  <r>
    <n v="20"/>
    <s v="School"/>
    <n v="128000"/>
    <x v="1"/>
    <m/>
    <m/>
    <m/>
    <n v="51181"/>
    <n v="49371"/>
    <n v="51180.952260738515"/>
    <n v="48458.180068337133"/>
    <n v="2722.7721924013822"/>
    <n v="0"/>
    <n v="0.39985118953701965"/>
    <m/>
    <n v="992"/>
  </r>
  <r>
    <n v="21"/>
    <s v="School"/>
    <n v="57345"/>
    <x v="1"/>
    <m/>
    <m/>
    <m/>
    <n v="17736"/>
    <n v="21743"/>
    <n v="17735.703504144687"/>
    <n v="21340.99388762339"/>
    <n v="-3605.290383478703"/>
    <n v="0"/>
    <n v="0.30928073073754797"/>
    <m/>
    <n v="344"/>
  </r>
  <r>
    <n v="22"/>
    <s v="School"/>
    <n v="68772"/>
    <x v="1"/>
    <m/>
    <m/>
    <m/>
    <n v="35672"/>
    <n v="37685"/>
    <n v="35671.938189134809"/>
    <n v="36988.24240698557"/>
    <n v="-1316.3042178507603"/>
    <n v="0"/>
    <n v="0.51869857193530522"/>
    <m/>
    <n v="691"/>
  </r>
  <r>
    <n v="23"/>
    <s v="School"/>
    <n v="50692"/>
    <x v="1"/>
    <m/>
    <m/>
    <m/>
    <n v="21524"/>
    <n v="18658"/>
    <n v="21524.052997987928"/>
    <n v="18313.032422171604"/>
    <n v="3211.0205758163247"/>
    <n v="0"/>
    <n v="0.42460453321999386"/>
    <m/>
    <n v="417"/>
  </r>
  <r>
    <n v="24"/>
    <s v="Retail"/>
    <n v="7774"/>
    <x v="1"/>
    <m/>
    <m/>
    <m/>
    <n v="4380"/>
    <n v="5118"/>
    <n v="4380.4817230987419"/>
    <n v="5161.5234640140434"/>
    <n v="-781.04174091530149"/>
    <n v="0"/>
    <n v="0.56347848251849009"/>
    <m/>
    <n v="8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F0F1DC7-1203-426C-8C78-7D36D23300DF}" name="PivotTable1" cacheId="3592"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34:G37" firstHeaderRow="0" firstDataRow="1" firstDataCol="1"/>
  <pivotFields count="16">
    <pivotField dataField="1" showAll="0"/>
    <pivotField showAll="0"/>
    <pivotField dataField="1" numFmtId="166" showAll="0"/>
    <pivotField axis="axisRow" showAll="0">
      <items count="4">
        <item m="1" x="2"/>
        <item x="1"/>
        <item x="0"/>
        <item t="default"/>
      </items>
    </pivotField>
    <pivotField dataField="1" showAll="0"/>
    <pivotField showAll="0"/>
    <pivotField dataField="1" showAll="0"/>
    <pivotField showAll="0"/>
    <pivotField showAll="0"/>
    <pivotField dataField="1" showAll="0"/>
    <pivotField showAll="0"/>
    <pivotField dataField="1" showAll="0"/>
    <pivotField showAll="0"/>
    <pivotField showAll="0"/>
    <pivotField showAll="0"/>
    <pivotField showAll="0"/>
  </pivotFields>
  <rowFields count="1">
    <field x="3"/>
  </rowFields>
  <rowItems count="3">
    <i>
      <x v="1"/>
    </i>
    <i>
      <x v="2"/>
    </i>
    <i t="grand">
      <x/>
    </i>
  </rowItems>
  <colFields count="1">
    <field x="-2"/>
  </colFields>
  <colItems count="6">
    <i>
      <x/>
    </i>
    <i i="1">
      <x v="1"/>
    </i>
    <i i="2">
      <x v="2"/>
    </i>
    <i i="3">
      <x v="3"/>
    </i>
    <i i="4">
      <x v="4"/>
    </i>
    <i i="5">
      <x v="5"/>
    </i>
  </colItems>
  <dataFields count="6">
    <dataField name="Count of Project #" fld="0" subtotal="count" baseField="0" baseItem="0"/>
    <dataField name="Sum of Project Area (sqft)" fld="2" baseField="0" baseItem="0" numFmtId="166"/>
    <dataField name="Sum of Pre Consumption" fld="4" baseField="0" baseItem="0" numFmtId="166"/>
    <dataField name="Sum of Bill Savings" fld="6" baseField="0" baseItem="0" numFmtId="166"/>
    <dataField name="Sum of Pre - Wx Normalized" fld="9" baseField="0" baseItem="0" numFmtId="166"/>
    <dataField name="Sum of Bill Savings - Wx Normalized" fld="11" baseField="0" baseItem="0" numFmtId="166"/>
  </dataFields>
  <formats count="7">
    <format dxfId="73">
      <pivotArea outline="0" collapsedLevelsAreSubtotals="1" fieldPosition="0">
        <references count="1">
          <reference field="4294967294" count="1" selected="0">
            <x v="1"/>
          </reference>
        </references>
      </pivotArea>
    </format>
    <format dxfId="74">
      <pivotArea field="3" type="button" dataOnly="0" labelOnly="1" outline="0" axis="axisRow" fieldPosition="0"/>
    </format>
    <format dxfId="75">
      <pivotArea dataOnly="0" labelOnly="1" outline="0" fieldPosition="0">
        <references count="1">
          <reference field="4294967294" count="2">
            <x v="0"/>
            <x v="1"/>
          </reference>
        </references>
      </pivotArea>
    </format>
    <format dxfId="76">
      <pivotArea dataOnly="0" labelOnly="1" outline="0" fieldPosition="0">
        <references count="1">
          <reference field="4294967294" count="2">
            <x v="3"/>
            <x v="5"/>
          </reference>
        </references>
      </pivotArea>
    </format>
    <format dxfId="77">
      <pivotArea outline="0" collapsedLevelsAreSubtotals="1" fieldPosition="0">
        <references count="1">
          <reference field="4294967294" count="2" selected="0">
            <x v="3"/>
            <x v="5"/>
          </reference>
        </references>
      </pivotArea>
    </format>
    <format dxfId="78">
      <pivotArea outline="0" collapsedLevelsAreSubtotals="1" fieldPosition="0">
        <references count="1">
          <reference field="4294967294" count="1" selected="0">
            <x v="2"/>
          </reference>
        </references>
      </pivotArea>
    </format>
    <format dxfId="79">
      <pivotArea outline="0" collapsedLevelsAreSubtotals="1" fieldPosition="0">
        <references count="1">
          <reference field="4294967294"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2" dT="2024-03-13T13:45:33.25" personId="{78DB80B7-4190-4759-A164-974FB0BE0B2A}" id="{9BC924B4-70A2-4A00-AC0D-011A775B997D}" done="1">
    <text xml:space="preserve">Remove PTAC, no ventilation. Uvs can do DCV. </text>
  </threadedComment>
  <threadedComment ref="C33" dT="2024-03-13T13:26:34.52" personId="{78DB80B7-4190-4759-A164-974FB0BE0B2A}" id="{85A821C6-0E25-40C0-98AF-C8D874069517}" done="1">
    <text>PTAC Packed terminal AC, CUH- neither have ventilation.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B99" dT="2024-03-13T13:26:34.52" personId="{78DB80B7-4190-4759-A164-974FB0BE0B2A}" id="{4E000861-C112-4C05-A129-96DAC8173965}" done="1">
    <text>PTAC Packed terminal AC, CUH- neither have ventilation.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 Id="rId4" Type="http://schemas.microsoft.com/office/2017/10/relationships/threadedComment" Target="../threadedComments/threadedComment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ivotTable" Target="../pivotTables/pivotTable1.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ia.gov/consumption/commercial/building-type-definitions.ph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asssave.com/trade-partners/new-technologies-and-solutions" TargetMode="External"/><Relationship Id="rId2" Type="http://schemas.openxmlformats.org/officeDocument/2006/relationships/hyperlink" Target="https://www.masssave.com/en/business/programs-and-services/commercialconnectedsolutions" TargetMode="External"/><Relationship Id="rId1" Type="http://schemas.openxmlformats.org/officeDocument/2006/relationships/hyperlink" Target="https://www.masssave.com/business/rebates-and-incentives/building-and-hvac-controls/building-management-systems-and-controls" TargetMode="External"/><Relationship Id="rId5" Type="http://schemas.openxmlformats.org/officeDocument/2006/relationships/printerSettings" Target="../printerSettings/printerSettings3.bin"/><Relationship Id="rId4" Type="http://schemas.openxmlformats.org/officeDocument/2006/relationships/hyperlink" Target="https://www.masssave.com/business/rebates-and-incentives/building-and-hvac-controls/building-management-systems-and-control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0312B-6CDA-4B35-8D0D-2FCCDB34BA6E}">
  <sheetPr codeName="Sheet14">
    <tabColor theme="7" tint="0.39997558519241921"/>
  </sheetPr>
  <dimension ref="A1:BA328"/>
  <sheetViews>
    <sheetView topLeftCell="A4" zoomScale="85" zoomScaleNormal="85" workbookViewId="0">
      <selection activeCell="D17" sqref="D17:F17"/>
    </sheetView>
  </sheetViews>
  <sheetFormatPr defaultRowHeight="14.45"/>
  <cols>
    <col min="1" max="1" width="8.7109375" style="147"/>
    <col min="2" max="2" width="21.140625" bestFit="1" customWidth="1"/>
    <col min="3" max="3" width="14.5703125" bestFit="1" customWidth="1"/>
    <col min="20" max="53" width="8.7109375" style="147"/>
  </cols>
  <sheetData>
    <row r="1" spans="1:21" s="147" customFormat="1" ht="45.95">
      <c r="A1" s="402" t="s">
        <v>0</v>
      </c>
    </row>
    <row r="2" spans="1:21" s="147" customFormat="1"/>
    <row r="3" spans="1:21" s="147" customFormat="1" ht="18.600000000000001">
      <c r="B3" s="1349" t="s">
        <v>1</v>
      </c>
      <c r="C3" s="1350"/>
      <c r="D3" s="1350"/>
      <c r="E3" s="1350"/>
      <c r="F3" s="1350"/>
      <c r="G3" s="1350"/>
      <c r="H3" s="1350"/>
      <c r="I3" s="1350"/>
      <c r="J3" s="1350"/>
      <c r="K3" s="1350"/>
      <c r="L3" s="1350"/>
      <c r="M3" s="1350"/>
      <c r="N3" s="1350"/>
      <c r="O3" s="1350"/>
      <c r="P3" s="1350"/>
      <c r="Q3" s="1350"/>
      <c r="R3" s="1350"/>
      <c r="S3" s="1351"/>
    </row>
    <row r="4" spans="1:21" s="147" customFormat="1" ht="14.45" customHeight="1">
      <c r="B4" s="1352" t="s">
        <v>2</v>
      </c>
      <c r="C4" s="1353"/>
      <c r="D4" s="1353"/>
      <c r="E4" s="1353"/>
      <c r="F4" s="1353"/>
      <c r="G4" s="1353"/>
      <c r="H4" s="1353"/>
      <c r="I4" s="1353"/>
      <c r="J4" s="1353"/>
      <c r="K4" s="1353"/>
      <c r="L4" s="1353"/>
      <c r="M4" s="1353"/>
      <c r="N4" s="1353"/>
      <c r="O4" s="1353"/>
      <c r="P4" s="1353"/>
      <c r="Q4" s="1353"/>
      <c r="R4" s="1353"/>
      <c r="S4" s="1354"/>
    </row>
    <row r="5" spans="1:21" s="147" customFormat="1">
      <c r="B5" s="1355"/>
      <c r="C5" s="1356"/>
      <c r="D5" s="1356"/>
      <c r="E5" s="1356"/>
      <c r="F5" s="1356"/>
      <c r="G5" s="1356"/>
      <c r="H5" s="1356"/>
      <c r="I5" s="1356"/>
      <c r="J5" s="1356"/>
      <c r="K5" s="1356"/>
      <c r="L5" s="1356"/>
      <c r="M5" s="1356"/>
      <c r="N5" s="1356"/>
      <c r="O5" s="1356"/>
      <c r="P5" s="1356"/>
      <c r="Q5" s="1356"/>
      <c r="R5" s="1356"/>
      <c r="S5" s="1357"/>
    </row>
    <row r="6" spans="1:21" s="147" customFormat="1" ht="26.1" customHeight="1">
      <c r="B6" s="1358"/>
      <c r="C6" s="1359"/>
      <c r="D6" s="1359"/>
      <c r="E6" s="1359"/>
      <c r="F6" s="1359"/>
      <c r="G6" s="1359"/>
      <c r="H6" s="1359"/>
      <c r="I6" s="1359"/>
      <c r="J6" s="1359"/>
      <c r="K6" s="1359"/>
      <c r="L6" s="1359"/>
      <c r="M6" s="1359"/>
      <c r="N6" s="1359"/>
      <c r="O6" s="1359"/>
      <c r="P6" s="1359"/>
      <c r="Q6" s="1359"/>
      <c r="R6" s="1359"/>
      <c r="S6" s="1360"/>
    </row>
    <row r="7" spans="1:21" s="147" customFormat="1"/>
    <row r="8" spans="1:21" ht="18.600000000000001">
      <c r="B8" s="1361" t="s">
        <v>3</v>
      </c>
      <c r="C8" s="1362"/>
      <c r="D8" s="1362"/>
      <c r="E8" s="1362"/>
      <c r="F8" s="1362"/>
      <c r="G8" s="1362"/>
      <c r="H8" s="1362"/>
      <c r="I8" s="1362"/>
      <c r="J8" s="1362"/>
      <c r="K8" s="1362"/>
      <c r="L8" s="1362"/>
      <c r="M8" s="1362"/>
      <c r="N8" s="1362"/>
      <c r="O8" s="1362"/>
      <c r="P8" s="1362"/>
      <c r="Q8" s="1362"/>
      <c r="R8" s="1362"/>
      <c r="S8" s="1363"/>
    </row>
    <row r="9" spans="1:21">
      <c r="B9" s="1364" t="s">
        <v>4</v>
      </c>
      <c r="C9" s="1365"/>
      <c r="D9" s="1365"/>
      <c r="E9" s="1365"/>
      <c r="F9" s="1365"/>
      <c r="G9" s="1365"/>
      <c r="H9" s="1365"/>
      <c r="I9" s="1365"/>
      <c r="J9" s="1365"/>
      <c r="K9" s="1365"/>
      <c r="L9" s="1365"/>
      <c r="M9" s="1365"/>
      <c r="N9" s="1365"/>
      <c r="O9" s="1365"/>
      <c r="P9" s="1365"/>
      <c r="Q9" s="1365"/>
      <c r="R9" s="1365"/>
      <c r="S9" s="1366"/>
    </row>
    <row r="10" spans="1:21">
      <c r="B10" s="1367" t="s">
        <v>5</v>
      </c>
      <c r="C10" s="1368"/>
      <c r="D10" s="1368" t="s">
        <v>6</v>
      </c>
      <c r="E10" s="1368"/>
      <c r="F10" s="1368"/>
      <c r="G10" s="1342" t="s">
        <v>7</v>
      </c>
      <c r="H10" s="1343"/>
      <c r="I10" s="1343"/>
      <c r="J10" s="1343"/>
      <c r="K10" s="1343"/>
      <c r="L10" s="1343"/>
      <c r="M10" s="1343"/>
      <c r="N10" s="1343"/>
      <c r="O10" s="1343"/>
      <c r="P10" s="1343"/>
      <c r="Q10" s="1343"/>
      <c r="R10" s="1343"/>
      <c r="S10" s="1344"/>
    </row>
    <row r="11" spans="1:21" ht="29.1" customHeight="1">
      <c r="B11" s="1369" t="s">
        <v>8</v>
      </c>
      <c r="C11" s="1370"/>
      <c r="D11" s="1319" t="s">
        <v>9</v>
      </c>
      <c r="E11" s="1319"/>
      <c r="F11" s="1319"/>
      <c r="G11" s="1319" t="s">
        <v>10</v>
      </c>
      <c r="H11" s="1319"/>
      <c r="I11" s="1319"/>
      <c r="J11" s="1319"/>
      <c r="K11" s="1319"/>
      <c r="L11" s="1319"/>
      <c r="M11" s="1319"/>
      <c r="N11" s="1319"/>
      <c r="O11" s="1319"/>
      <c r="P11" s="1319"/>
      <c r="Q11" s="1319"/>
      <c r="R11" s="1319"/>
      <c r="S11" s="1326"/>
      <c r="U11" s="167"/>
    </row>
    <row r="12" spans="1:21" ht="29.1" customHeight="1">
      <c r="B12" s="1340" t="s">
        <v>11</v>
      </c>
      <c r="C12" s="1341"/>
      <c r="D12" s="1322" t="s">
        <v>12</v>
      </c>
      <c r="E12" s="1322"/>
      <c r="F12" s="1322"/>
      <c r="G12" s="1322" t="s">
        <v>13</v>
      </c>
      <c r="H12" s="1322"/>
      <c r="I12" s="1322"/>
      <c r="J12" s="1322"/>
      <c r="K12" s="1322"/>
      <c r="L12" s="1322"/>
      <c r="M12" s="1322"/>
      <c r="N12" s="1322"/>
      <c r="O12" s="1322"/>
      <c r="P12" s="1322"/>
      <c r="Q12" s="1322"/>
      <c r="R12" s="1322"/>
      <c r="S12" s="1323"/>
      <c r="U12" s="167"/>
    </row>
    <row r="13" spans="1:21" ht="32.1" customHeight="1">
      <c r="B13" s="1371" t="s">
        <v>14</v>
      </c>
      <c r="C13" s="1372"/>
      <c r="D13" s="1337" t="s">
        <v>15</v>
      </c>
      <c r="E13" s="1337"/>
      <c r="F13" s="1337"/>
      <c r="G13" s="1337" t="s">
        <v>16</v>
      </c>
      <c r="H13" s="1337"/>
      <c r="I13" s="1337"/>
      <c r="J13" s="1337"/>
      <c r="K13" s="1337"/>
      <c r="L13" s="1337"/>
      <c r="M13" s="1337"/>
      <c r="N13" s="1337"/>
      <c r="O13" s="1337"/>
      <c r="P13" s="1337"/>
      <c r="Q13" s="1337"/>
      <c r="R13" s="1337"/>
      <c r="S13" s="1338"/>
    </row>
    <row r="14" spans="1:21" ht="32.1" customHeight="1">
      <c r="B14" s="1371"/>
      <c r="C14" s="1372"/>
      <c r="D14" s="1337" t="s">
        <v>17</v>
      </c>
      <c r="E14" s="1337"/>
      <c r="F14" s="1337"/>
      <c r="G14" s="1337" t="s">
        <v>18</v>
      </c>
      <c r="H14" s="1337"/>
      <c r="I14" s="1337"/>
      <c r="J14" s="1337"/>
      <c r="K14" s="1337"/>
      <c r="L14" s="1337"/>
      <c r="M14" s="1337"/>
      <c r="N14" s="1337"/>
      <c r="O14" s="1337"/>
      <c r="P14" s="1337"/>
      <c r="Q14" s="1337"/>
      <c r="R14" s="1337"/>
      <c r="S14" s="1338"/>
    </row>
    <row r="15" spans="1:21" ht="31.5" customHeight="1">
      <c r="B15" s="1371"/>
      <c r="C15" s="1372"/>
      <c r="D15" s="1324" t="s">
        <v>19</v>
      </c>
      <c r="E15" s="1324"/>
      <c r="F15" s="1324"/>
      <c r="G15" s="1324" t="s">
        <v>20</v>
      </c>
      <c r="H15" s="1324"/>
      <c r="I15" s="1324"/>
      <c r="J15" s="1324"/>
      <c r="K15" s="1324"/>
      <c r="L15" s="1324"/>
      <c r="M15" s="1324"/>
      <c r="N15" s="1324"/>
      <c r="O15" s="1324"/>
      <c r="P15" s="1324"/>
      <c r="Q15" s="1324"/>
      <c r="R15" s="1324"/>
      <c r="S15" s="1325"/>
    </row>
    <row r="16" spans="1:21" ht="31.5" customHeight="1">
      <c r="B16" s="1371"/>
      <c r="C16" s="1372"/>
      <c r="D16" s="1324" t="s">
        <v>21</v>
      </c>
      <c r="E16" s="1324"/>
      <c r="F16" s="1324"/>
      <c r="G16" s="1324" t="s">
        <v>22</v>
      </c>
      <c r="H16" s="1324"/>
      <c r="I16" s="1324"/>
      <c r="J16" s="1324"/>
      <c r="K16" s="1324"/>
      <c r="L16" s="1324"/>
      <c r="M16" s="1324"/>
      <c r="N16" s="1324"/>
      <c r="O16" s="1324"/>
      <c r="P16" s="1324"/>
      <c r="Q16" s="1324"/>
      <c r="R16" s="1324"/>
      <c r="S16" s="1325"/>
    </row>
    <row r="17" spans="2:21" ht="29.1" customHeight="1">
      <c r="B17" s="1371"/>
      <c r="C17" s="1372"/>
      <c r="D17" s="1324" t="s">
        <v>23</v>
      </c>
      <c r="E17" s="1324"/>
      <c r="F17" s="1324"/>
      <c r="G17" s="1324" t="s">
        <v>24</v>
      </c>
      <c r="H17" s="1324"/>
      <c r="I17" s="1324"/>
      <c r="J17" s="1324"/>
      <c r="K17" s="1324"/>
      <c r="L17" s="1324"/>
      <c r="M17" s="1324"/>
      <c r="N17" s="1324"/>
      <c r="O17" s="1324"/>
      <c r="P17" s="1324"/>
      <c r="Q17" s="1324"/>
      <c r="R17" s="1324"/>
      <c r="S17" s="1325"/>
    </row>
    <row r="18" spans="2:21" ht="45" customHeight="1">
      <c r="B18" s="1371"/>
      <c r="C18" s="1372"/>
      <c r="D18" s="1324" t="s">
        <v>25</v>
      </c>
      <c r="E18" s="1324"/>
      <c r="F18" s="1324"/>
      <c r="G18" s="1324" t="s">
        <v>26</v>
      </c>
      <c r="H18" s="1324"/>
      <c r="I18" s="1324"/>
      <c r="J18" s="1324"/>
      <c r="K18" s="1324"/>
      <c r="L18" s="1324"/>
      <c r="M18" s="1324"/>
      <c r="N18" s="1324"/>
      <c r="O18" s="1324"/>
      <c r="P18" s="1324"/>
      <c r="Q18" s="1324"/>
      <c r="R18" s="1324"/>
      <c r="S18" s="1325"/>
    </row>
    <row r="19" spans="2:21" ht="32.450000000000003" customHeight="1">
      <c r="B19" s="1371"/>
      <c r="C19" s="1372"/>
      <c r="D19" s="1339" t="s">
        <v>27</v>
      </c>
      <c r="E19" s="1324"/>
      <c r="F19" s="1324"/>
      <c r="G19" s="1324" t="s">
        <v>28</v>
      </c>
      <c r="H19" s="1324"/>
      <c r="I19" s="1324"/>
      <c r="J19" s="1324"/>
      <c r="K19" s="1324"/>
      <c r="L19" s="1324"/>
      <c r="M19" s="1324"/>
      <c r="N19" s="1324"/>
      <c r="O19" s="1324"/>
      <c r="P19" s="1324"/>
      <c r="Q19" s="1324"/>
      <c r="R19" s="1324"/>
      <c r="S19" s="1325"/>
    </row>
    <row r="20" spans="2:21" ht="31.5" customHeight="1">
      <c r="B20" s="1371"/>
      <c r="C20" s="1372"/>
      <c r="D20" s="1339" t="s">
        <v>29</v>
      </c>
      <c r="E20" s="1324"/>
      <c r="F20" s="1324"/>
      <c r="G20" s="1324" t="s">
        <v>30</v>
      </c>
      <c r="H20" s="1324"/>
      <c r="I20" s="1324"/>
      <c r="J20" s="1324"/>
      <c r="K20" s="1324"/>
      <c r="L20" s="1324"/>
      <c r="M20" s="1324"/>
      <c r="N20" s="1324"/>
      <c r="O20" s="1324"/>
      <c r="P20" s="1324"/>
      <c r="Q20" s="1324"/>
      <c r="R20" s="1324"/>
      <c r="S20" s="1325"/>
    </row>
    <row r="21" spans="2:21" ht="31.5" customHeight="1">
      <c r="B21" s="1371"/>
      <c r="C21" s="1372"/>
      <c r="D21" s="1339" t="s">
        <v>31</v>
      </c>
      <c r="E21" s="1324"/>
      <c r="F21" s="1324"/>
      <c r="G21" s="1324" t="s">
        <v>32</v>
      </c>
      <c r="H21" s="1324"/>
      <c r="I21" s="1324"/>
      <c r="J21" s="1324"/>
      <c r="K21" s="1324"/>
      <c r="L21" s="1324"/>
      <c r="M21" s="1324"/>
      <c r="N21" s="1324"/>
      <c r="O21" s="1324"/>
      <c r="P21" s="1324"/>
      <c r="Q21" s="1324"/>
      <c r="R21" s="1324"/>
      <c r="S21" s="1325"/>
    </row>
    <row r="22" spans="2:21" ht="33.950000000000003" customHeight="1">
      <c r="B22" s="1373"/>
      <c r="C22" s="1374"/>
      <c r="D22" s="1348" t="s">
        <v>33</v>
      </c>
      <c r="E22" s="1319"/>
      <c r="F22" s="1319"/>
      <c r="G22" s="1319" t="s">
        <v>34</v>
      </c>
      <c r="H22" s="1319"/>
      <c r="I22" s="1319"/>
      <c r="J22" s="1319"/>
      <c r="K22" s="1319"/>
      <c r="L22" s="1319"/>
      <c r="M22" s="1319"/>
      <c r="N22" s="1319"/>
      <c r="O22" s="1319"/>
      <c r="P22" s="1319"/>
      <c r="Q22" s="1319"/>
      <c r="R22" s="1319"/>
      <c r="S22" s="1326"/>
    </row>
    <row r="23" spans="2:21" ht="29.1" customHeight="1">
      <c r="B23" s="1335" t="s">
        <v>35</v>
      </c>
      <c r="C23" s="1336"/>
      <c r="D23" s="1345" t="s">
        <v>36</v>
      </c>
      <c r="E23" s="1346"/>
      <c r="F23" s="1347"/>
      <c r="G23" s="1322" t="s">
        <v>37</v>
      </c>
      <c r="H23" s="1322"/>
      <c r="I23" s="1322"/>
      <c r="J23" s="1322"/>
      <c r="K23" s="1322"/>
      <c r="L23" s="1322"/>
      <c r="M23" s="1322"/>
      <c r="N23" s="1322"/>
      <c r="O23" s="1322"/>
      <c r="P23" s="1322"/>
      <c r="Q23" s="1322"/>
      <c r="R23" s="1322"/>
      <c r="S23" s="1323"/>
      <c r="U23" s="167"/>
    </row>
    <row r="24" spans="2:21" ht="29.1" customHeight="1">
      <c r="B24" s="1333" t="s">
        <v>38</v>
      </c>
      <c r="C24" s="1334"/>
      <c r="D24" s="1337" t="s">
        <v>39</v>
      </c>
      <c r="E24" s="1337"/>
      <c r="F24" s="1337"/>
      <c r="G24" s="1337" t="s">
        <v>40</v>
      </c>
      <c r="H24" s="1337"/>
      <c r="I24" s="1337"/>
      <c r="J24" s="1337"/>
      <c r="K24" s="1337"/>
      <c r="L24" s="1337"/>
      <c r="M24" s="1337"/>
      <c r="N24" s="1337"/>
      <c r="O24" s="1337"/>
      <c r="P24" s="1337"/>
      <c r="Q24" s="1337"/>
      <c r="R24" s="1337"/>
      <c r="S24" s="1338"/>
    </row>
    <row r="25" spans="2:21" ht="29.1" customHeight="1">
      <c r="B25" s="1335"/>
      <c r="C25" s="1336"/>
      <c r="D25" s="1319" t="s">
        <v>23</v>
      </c>
      <c r="E25" s="1319"/>
      <c r="F25" s="1319"/>
      <c r="G25" s="1319" t="s">
        <v>41</v>
      </c>
      <c r="H25" s="1319"/>
      <c r="I25" s="1319"/>
      <c r="J25" s="1319"/>
      <c r="K25" s="1319"/>
      <c r="L25" s="1319"/>
      <c r="M25" s="1319"/>
      <c r="N25" s="1319"/>
      <c r="O25" s="1319"/>
      <c r="P25" s="1319"/>
      <c r="Q25" s="1319"/>
      <c r="R25" s="1319"/>
      <c r="S25" s="1326"/>
    </row>
    <row r="26" spans="2:21" ht="29.1" customHeight="1">
      <c r="B26" s="1320" t="s">
        <v>42</v>
      </c>
      <c r="C26" s="1321"/>
      <c r="D26" s="1322" t="s">
        <v>43</v>
      </c>
      <c r="E26" s="1322"/>
      <c r="F26" s="1322"/>
      <c r="G26" s="1322" t="s">
        <v>44</v>
      </c>
      <c r="H26" s="1322"/>
      <c r="I26" s="1322"/>
      <c r="J26" s="1322"/>
      <c r="K26" s="1322"/>
      <c r="L26" s="1322"/>
      <c r="M26" s="1322"/>
      <c r="N26" s="1322"/>
      <c r="O26" s="1322"/>
      <c r="P26" s="1322"/>
      <c r="Q26" s="1322"/>
      <c r="R26" s="1322"/>
      <c r="S26" s="1323"/>
    </row>
    <row r="27" spans="2:21" ht="33.6" customHeight="1">
      <c r="B27" s="1327" t="s">
        <v>45</v>
      </c>
      <c r="C27" s="1328"/>
      <c r="D27" s="1324" t="s">
        <v>46</v>
      </c>
      <c r="E27" s="1324"/>
      <c r="F27" s="1324"/>
      <c r="G27" s="1324" t="s">
        <v>47</v>
      </c>
      <c r="H27" s="1324"/>
      <c r="I27" s="1324"/>
      <c r="J27" s="1324"/>
      <c r="K27" s="1324"/>
      <c r="L27" s="1324"/>
      <c r="M27" s="1324"/>
      <c r="N27" s="1324"/>
      <c r="O27" s="1324"/>
      <c r="P27" s="1324"/>
      <c r="Q27" s="1324"/>
      <c r="R27" s="1324"/>
      <c r="S27" s="1325"/>
    </row>
    <row r="28" spans="2:21" ht="29.1" customHeight="1">
      <c r="B28" s="1329"/>
      <c r="C28" s="1330"/>
      <c r="D28" s="1319" t="s">
        <v>48</v>
      </c>
      <c r="E28" s="1319"/>
      <c r="F28" s="1319"/>
      <c r="G28" s="1319" t="s">
        <v>49</v>
      </c>
      <c r="H28" s="1319"/>
      <c r="I28" s="1319"/>
      <c r="J28" s="1319"/>
      <c r="K28" s="1319"/>
      <c r="L28" s="1319"/>
      <c r="M28" s="1319"/>
      <c r="N28" s="1319"/>
      <c r="O28" s="1319"/>
      <c r="P28" s="1319"/>
      <c r="Q28" s="1319"/>
      <c r="R28" s="1319"/>
      <c r="S28" s="1326"/>
    </row>
    <row r="29" spans="2:21" ht="29.1" customHeight="1">
      <c r="B29" s="1331" t="s">
        <v>50</v>
      </c>
      <c r="C29" s="1332"/>
      <c r="D29" s="1322" t="s">
        <v>51</v>
      </c>
      <c r="E29" s="1322"/>
      <c r="F29" s="1322"/>
      <c r="G29" s="1322" t="s">
        <v>52</v>
      </c>
      <c r="H29" s="1322"/>
      <c r="I29" s="1322"/>
      <c r="J29" s="1322"/>
      <c r="K29" s="1322"/>
      <c r="L29" s="1322"/>
      <c r="M29" s="1322"/>
      <c r="N29" s="1322"/>
      <c r="O29" s="1322"/>
      <c r="P29" s="1322"/>
      <c r="Q29" s="1322"/>
      <c r="R29" s="1322"/>
      <c r="S29" s="1323"/>
    </row>
    <row r="30" spans="2:21" s="147" customFormat="1"/>
    <row r="31" spans="2:21" s="147" customFormat="1"/>
    <row r="32" spans="2:21" s="147" customFormat="1" ht="18.600000000000001">
      <c r="B32" s="1299" t="s">
        <v>53</v>
      </c>
      <c r="C32" s="1300"/>
      <c r="D32" s="1300"/>
      <c r="E32" s="1300"/>
      <c r="F32" s="1300"/>
      <c r="G32" s="1300"/>
      <c r="H32" s="1300"/>
      <c r="I32" s="1300"/>
      <c r="J32" s="1300"/>
      <c r="K32" s="1300"/>
      <c r="L32" s="1300"/>
      <c r="M32" s="1300"/>
      <c r="N32" s="1300"/>
      <c r="O32" s="1300"/>
      <c r="P32" s="1300"/>
      <c r="Q32" s="1300"/>
      <c r="R32" s="1300"/>
      <c r="S32" s="1301"/>
    </row>
    <row r="33" spans="2:19" s="147" customFormat="1">
      <c r="B33" s="456" t="s">
        <v>54</v>
      </c>
      <c r="C33" s="1310" t="s">
        <v>55</v>
      </c>
      <c r="D33" s="1310"/>
      <c r="E33" s="1310"/>
      <c r="F33" s="1310"/>
      <c r="G33" s="1310"/>
      <c r="H33" s="1310"/>
      <c r="I33" s="1310"/>
      <c r="J33" s="1310"/>
      <c r="K33" s="1310"/>
      <c r="L33" s="1310"/>
      <c r="M33" s="1310"/>
      <c r="N33" s="1310"/>
      <c r="O33" s="1310"/>
      <c r="P33" s="1310"/>
      <c r="Q33" s="1310"/>
      <c r="R33" s="1310"/>
      <c r="S33" s="1311"/>
    </row>
    <row r="34" spans="2:19" s="147" customFormat="1">
      <c r="B34" s="454" t="s">
        <v>56</v>
      </c>
      <c r="C34" s="1312">
        <v>1</v>
      </c>
      <c r="D34" s="1312"/>
      <c r="E34" s="1312"/>
      <c r="F34" s="1312"/>
      <c r="G34" s="1312"/>
      <c r="H34" s="1312"/>
      <c r="I34" s="1312"/>
      <c r="J34" s="1312"/>
      <c r="K34" s="1312"/>
      <c r="L34" s="1312"/>
      <c r="M34" s="1312"/>
      <c r="N34" s="1312"/>
      <c r="O34" s="1312"/>
      <c r="P34" s="1312"/>
      <c r="Q34" s="1312"/>
      <c r="R34" s="1312"/>
      <c r="S34" s="1313"/>
    </row>
    <row r="35" spans="2:19" s="147" customFormat="1">
      <c r="B35" s="454" t="s">
        <v>57</v>
      </c>
      <c r="C35" s="1314">
        <v>45404</v>
      </c>
      <c r="D35" s="1315"/>
      <c r="E35" s="1315"/>
      <c r="F35" s="1315"/>
      <c r="G35" s="1315"/>
      <c r="H35" s="1315"/>
      <c r="I35" s="1315"/>
      <c r="J35" s="1315"/>
      <c r="K35" s="1315"/>
      <c r="L35" s="1315"/>
      <c r="M35" s="1315"/>
      <c r="N35" s="1315"/>
      <c r="O35" s="1315"/>
      <c r="P35" s="1315"/>
      <c r="Q35" s="1315"/>
      <c r="R35" s="1315"/>
      <c r="S35" s="1316"/>
    </row>
    <row r="36" spans="2:19" s="147" customFormat="1">
      <c r="B36" s="455" t="s">
        <v>58</v>
      </c>
      <c r="C36" s="1317" t="s">
        <v>59</v>
      </c>
      <c r="D36" s="1317"/>
      <c r="E36" s="1317"/>
      <c r="F36" s="1317"/>
      <c r="G36" s="1317"/>
      <c r="H36" s="1317"/>
      <c r="I36" s="1317"/>
      <c r="J36" s="1317"/>
      <c r="K36" s="1317"/>
      <c r="L36" s="1317"/>
      <c r="M36" s="1317"/>
      <c r="N36" s="1317"/>
      <c r="O36" s="1317"/>
      <c r="P36" s="1317"/>
      <c r="Q36" s="1317"/>
      <c r="R36" s="1317"/>
      <c r="S36" s="1318"/>
    </row>
    <row r="37" spans="2:19" s="147" customFormat="1">
      <c r="B37" s="1302" t="s">
        <v>60</v>
      </c>
      <c r="C37" s="1303"/>
      <c r="D37" s="1303"/>
      <c r="E37" s="1303"/>
      <c r="F37" s="1303"/>
      <c r="G37" s="1303"/>
      <c r="H37" s="1303"/>
      <c r="I37" s="1303"/>
      <c r="J37" s="1303"/>
      <c r="K37" s="1303"/>
      <c r="L37" s="1303"/>
      <c r="M37" s="1303"/>
      <c r="N37" s="1303"/>
      <c r="O37" s="1303"/>
      <c r="P37" s="1303"/>
      <c r="Q37" s="1303"/>
      <c r="R37" s="1303"/>
      <c r="S37" s="1304"/>
    </row>
    <row r="38" spans="2:19" s="147" customFormat="1" ht="123.95" customHeight="1">
      <c r="B38" s="1305">
        <v>45382</v>
      </c>
      <c r="C38" s="1306"/>
      <c r="D38" s="1307">
        <v>1</v>
      </c>
      <c r="E38" s="1307"/>
      <c r="F38" s="1307"/>
      <c r="G38" s="1308" t="s">
        <v>61</v>
      </c>
      <c r="H38" s="1308"/>
      <c r="I38" s="1308"/>
      <c r="J38" s="1308"/>
      <c r="K38" s="1308"/>
      <c r="L38" s="1308"/>
      <c r="M38" s="1308"/>
      <c r="N38" s="1308"/>
      <c r="O38" s="1308"/>
      <c r="P38" s="1308"/>
      <c r="Q38" s="1308"/>
      <c r="R38" s="1308"/>
      <c r="S38" s="1309"/>
    </row>
    <row r="39" spans="2:19" s="147" customFormat="1">
      <c r="B39" s="1298"/>
      <c r="C39" s="1293"/>
      <c r="D39" s="1293"/>
      <c r="E39" s="1293"/>
      <c r="F39" s="1293"/>
      <c r="G39" s="1293"/>
      <c r="H39" s="1293"/>
      <c r="I39" s="1293"/>
      <c r="J39" s="1293"/>
      <c r="K39" s="1293"/>
      <c r="L39" s="1293"/>
      <c r="M39" s="1293"/>
      <c r="N39" s="1293"/>
      <c r="O39" s="1293"/>
      <c r="P39" s="1293"/>
      <c r="Q39" s="1293"/>
      <c r="R39" s="1293"/>
      <c r="S39" s="1294"/>
    </row>
    <row r="40" spans="2:19" s="147" customFormat="1">
      <c r="B40" s="1292"/>
      <c r="C40" s="1293"/>
      <c r="D40" s="1293"/>
      <c r="E40" s="1293"/>
      <c r="F40" s="1293"/>
      <c r="G40" s="1293"/>
      <c r="H40" s="1293"/>
      <c r="I40" s="1293"/>
      <c r="J40" s="1293"/>
      <c r="K40" s="1293"/>
      <c r="L40" s="1293"/>
      <c r="M40" s="1293"/>
      <c r="N40" s="1293"/>
      <c r="O40" s="1293"/>
      <c r="P40" s="1293"/>
      <c r="Q40" s="1293"/>
      <c r="R40" s="1293"/>
      <c r="S40" s="1294"/>
    </row>
    <row r="41" spans="2:19" s="147" customFormat="1">
      <c r="B41" s="1292"/>
      <c r="C41" s="1293"/>
      <c r="D41" s="1293"/>
      <c r="E41" s="1293"/>
      <c r="F41" s="1293"/>
      <c r="G41" s="1293"/>
      <c r="H41" s="1293"/>
      <c r="I41" s="1293"/>
      <c r="J41" s="1293"/>
      <c r="K41" s="1293"/>
      <c r="L41" s="1293"/>
      <c r="M41" s="1293"/>
      <c r="N41" s="1293"/>
      <c r="O41" s="1293"/>
      <c r="P41" s="1293"/>
      <c r="Q41" s="1293"/>
      <c r="R41" s="1293"/>
      <c r="S41" s="1294"/>
    </row>
    <row r="42" spans="2:19" s="147" customFormat="1">
      <c r="B42" s="1292"/>
      <c r="C42" s="1293"/>
      <c r="D42" s="1293"/>
      <c r="E42" s="1293"/>
      <c r="F42" s="1293"/>
      <c r="G42" s="1293"/>
      <c r="H42" s="1293"/>
      <c r="I42" s="1293"/>
      <c r="J42" s="1293"/>
      <c r="K42" s="1293"/>
      <c r="L42" s="1293"/>
      <c r="M42" s="1293"/>
      <c r="N42" s="1293"/>
      <c r="O42" s="1293"/>
      <c r="P42" s="1293"/>
      <c r="Q42" s="1293"/>
      <c r="R42" s="1293"/>
      <c r="S42" s="1294"/>
    </row>
    <row r="43" spans="2:19" s="147" customFormat="1">
      <c r="B43" s="1292"/>
      <c r="C43" s="1293"/>
      <c r="D43" s="1293"/>
      <c r="E43" s="1293"/>
      <c r="F43" s="1293"/>
      <c r="G43" s="1293"/>
      <c r="H43" s="1293"/>
      <c r="I43" s="1293"/>
      <c r="J43" s="1293"/>
      <c r="K43" s="1293"/>
      <c r="L43" s="1293"/>
      <c r="M43" s="1293"/>
      <c r="N43" s="1293"/>
      <c r="O43" s="1293"/>
      <c r="P43" s="1293"/>
      <c r="Q43" s="1293"/>
      <c r="R43" s="1293"/>
      <c r="S43" s="1294"/>
    </row>
    <row r="44" spans="2:19" s="147" customFormat="1">
      <c r="B44" s="1292"/>
      <c r="C44" s="1293"/>
      <c r="D44" s="1293"/>
      <c r="E44" s="1293"/>
      <c r="F44" s="1293"/>
      <c r="G44" s="1293"/>
      <c r="H44" s="1293"/>
      <c r="I44" s="1293"/>
      <c r="J44" s="1293"/>
      <c r="K44" s="1293"/>
      <c r="L44" s="1293"/>
      <c r="M44" s="1293"/>
      <c r="N44" s="1293"/>
      <c r="O44" s="1293"/>
      <c r="P44" s="1293"/>
      <c r="Q44" s="1293"/>
      <c r="R44" s="1293"/>
      <c r="S44" s="1294"/>
    </row>
    <row r="45" spans="2:19" s="147" customFormat="1">
      <c r="B45" s="1292"/>
      <c r="C45" s="1293"/>
      <c r="D45" s="1293"/>
      <c r="E45" s="1293"/>
      <c r="F45" s="1293"/>
      <c r="G45" s="1293"/>
      <c r="H45" s="1293"/>
      <c r="I45" s="1293"/>
      <c r="J45" s="1293"/>
      <c r="K45" s="1293"/>
      <c r="L45" s="1293"/>
      <c r="M45" s="1293"/>
      <c r="N45" s="1293"/>
      <c r="O45" s="1293"/>
      <c r="P45" s="1293"/>
      <c r="Q45" s="1293"/>
      <c r="R45" s="1293"/>
      <c r="S45" s="1294"/>
    </row>
    <row r="46" spans="2:19" s="147" customFormat="1">
      <c r="B46" s="1292"/>
      <c r="C46" s="1293"/>
      <c r="D46" s="1293"/>
      <c r="E46" s="1293"/>
      <c r="F46" s="1293"/>
      <c r="G46" s="1293"/>
      <c r="H46" s="1293"/>
      <c r="I46" s="1293"/>
      <c r="J46" s="1293"/>
      <c r="K46" s="1293"/>
      <c r="L46" s="1293"/>
      <c r="M46" s="1293"/>
      <c r="N46" s="1293"/>
      <c r="O46" s="1293"/>
      <c r="P46" s="1293"/>
      <c r="Q46" s="1293"/>
      <c r="R46" s="1293"/>
      <c r="S46" s="1294"/>
    </row>
    <row r="47" spans="2:19" s="147" customFormat="1">
      <c r="B47" s="1295"/>
      <c r="C47" s="1296"/>
      <c r="D47" s="1296"/>
      <c r="E47" s="1296"/>
      <c r="F47" s="1296"/>
      <c r="G47" s="1296"/>
      <c r="H47" s="1296"/>
      <c r="I47" s="1296"/>
      <c r="J47" s="1296"/>
      <c r="K47" s="1296"/>
      <c r="L47" s="1296"/>
      <c r="M47" s="1296"/>
      <c r="N47" s="1296"/>
      <c r="O47" s="1296"/>
      <c r="P47" s="1296"/>
      <c r="Q47" s="1296"/>
      <c r="R47" s="1296"/>
      <c r="S47" s="1297"/>
    </row>
    <row r="48" spans="2:19" s="147" customFormat="1"/>
    <row r="49" s="147" customFormat="1"/>
    <row r="50" s="147" customFormat="1"/>
    <row r="51" s="147" customFormat="1"/>
    <row r="52" s="147" customFormat="1"/>
    <row r="53" s="147" customFormat="1"/>
    <row r="54" s="147" customFormat="1"/>
    <row r="55" s="147" customFormat="1"/>
    <row r="56" s="147" customFormat="1"/>
    <row r="57" s="147" customFormat="1"/>
    <row r="58" s="147" customFormat="1"/>
    <row r="59" s="147" customFormat="1"/>
    <row r="60" s="147" customFormat="1"/>
    <row r="61" s="147" customFormat="1"/>
    <row r="62" s="147" customFormat="1"/>
    <row r="63" s="147" customFormat="1"/>
    <row r="64" s="147" customFormat="1"/>
    <row r="65" s="147" customFormat="1"/>
    <row r="66" s="147" customFormat="1"/>
    <row r="67" s="147" customFormat="1"/>
    <row r="68" s="147" customFormat="1"/>
    <row r="69" s="147" customFormat="1"/>
    <row r="70" s="147" customFormat="1"/>
    <row r="71" s="147" customFormat="1"/>
    <row r="72" s="147" customFormat="1"/>
    <row r="73" s="147" customFormat="1"/>
    <row r="74" s="147" customFormat="1"/>
    <row r="75" s="147" customFormat="1"/>
    <row r="76" s="147" customFormat="1"/>
    <row r="77" s="147" customFormat="1"/>
    <row r="78" s="147" customFormat="1"/>
    <row r="79" s="147" customFormat="1"/>
    <row r="80" s="147" customFormat="1"/>
    <row r="81" s="147" customFormat="1"/>
    <row r="82" s="147" customFormat="1"/>
    <row r="83" s="147" customFormat="1"/>
    <row r="84" s="147" customFormat="1"/>
    <row r="85" s="147" customFormat="1"/>
    <row r="86" s="147" customFormat="1"/>
    <row r="87" s="147" customFormat="1"/>
    <row r="88" s="147" customFormat="1"/>
    <row r="89" s="147" customFormat="1"/>
    <row r="90" s="147" customFormat="1"/>
    <row r="91" s="147" customFormat="1"/>
    <row r="92" s="147" customFormat="1"/>
    <row r="93" s="147" customFormat="1"/>
    <row r="94" s="147" customFormat="1"/>
    <row r="95" s="147" customFormat="1"/>
    <row r="96" s="147" customFormat="1"/>
    <row r="97" s="147" customFormat="1"/>
    <row r="98" s="147" customFormat="1"/>
    <row r="99" s="147" customFormat="1"/>
    <row r="100" s="147" customFormat="1"/>
    <row r="101" s="147" customFormat="1"/>
    <row r="102" s="147" customFormat="1"/>
    <row r="103" s="147" customFormat="1"/>
    <row r="104" s="147" customFormat="1"/>
    <row r="105" s="147" customFormat="1"/>
    <row r="106" s="147" customFormat="1"/>
    <row r="107" s="147" customFormat="1"/>
    <row r="108" s="147" customFormat="1"/>
    <row r="109" s="147" customFormat="1"/>
    <row r="110" s="147" customFormat="1"/>
    <row r="111" s="147" customFormat="1"/>
    <row r="112" s="147" customFormat="1"/>
    <row r="113" s="147" customFormat="1"/>
    <row r="114" s="147" customFormat="1"/>
    <row r="115" s="147" customFormat="1"/>
    <row r="116" s="147" customFormat="1"/>
    <row r="117" s="147" customFormat="1"/>
    <row r="118" s="147" customFormat="1"/>
    <row r="119" s="147" customFormat="1"/>
    <row r="120" s="147" customFormat="1"/>
    <row r="121" s="147" customFormat="1"/>
    <row r="122" s="147" customFormat="1"/>
    <row r="123" s="147" customFormat="1"/>
    <row r="124" s="147" customFormat="1"/>
    <row r="125" s="147" customFormat="1"/>
    <row r="126" s="147" customFormat="1"/>
    <row r="127" s="147" customFormat="1"/>
    <row r="128" s="147" customFormat="1"/>
    <row r="129" s="147" customFormat="1"/>
    <row r="130" s="147" customFormat="1"/>
    <row r="131" s="147" customFormat="1"/>
    <row r="132" s="147" customFormat="1"/>
    <row r="133" s="147" customFormat="1"/>
    <row r="134" s="147" customFormat="1"/>
    <row r="135" s="147" customFormat="1"/>
    <row r="136" s="147" customFormat="1"/>
    <row r="137" s="147" customFormat="1"/>
    <row r="138" s="147" customFormat="1"/>
    <row r="139" s="147" customFormat="1"/>
    <row r="140" s="147" customFormat="1"/>
    <row r="141" s="147" customFormat="1"/>
    <row r="142" s="147" customFormat="1"/>
    <row r="143" s="147" customFormat="1"/>
    <row r="144" s="147" customFormat="1"/>
    <row r="145" s="147" customFormat="1"/>
    <row r="146" s="147" customFormat="1"/>
    <row r="147" s="147" customFormat="1"/>
    <row r="148" s="147" customFormat="1"/>
    <row r="149" s="147" customFormat="1"/>
    <row r="150" s="147" customFormat="1"/>
    <row r="151" s="147" customFormat="1"/>
    <row r="152" s="147" customFormat="1"/>
    <row r="153" s="147" customFormat="1"/>
    <row r="154" s="147" customFormat="1"/>
    <row r="155" s="147" customFormat="1"/>
    <row r="156" s="147" customFormat="1"/>
    <row r="157" s="147" customFormat="1"/>
    <row r="158" s="147" customFormat="1"/>
    <row r="159" s="147" customFormat="1"/>
    <row r="160" s="147" customFormat="1"/>
    <row r="161" s="147" customFormat="1"/>
    <row r="162" s="147" customFormat="1"/>
    <row r="163" s="147" customFormat="1"/>
    <row r="164" s="147" customFormat="1"/>
    <row r="165" s="147" customFormat="1"/>
    <row r="166" s="147" customFormat="1"/>
    <row r="167" s="147" customFormat="1"/>
    <row r="168" s="147" customFormat="1"/>
    <row r="169" s="147" customFormat="1"/>
    <row r="170" s="147" customFormat="1"/>
    <row r="171" s="147" customFormat="1"/>
    <row r="172" s="147" customFormat="1"/>
    <row r="173" s="147" customFormat="1"/>
    <row r="174" s="147" customFormat="1"/>
    <row r="175" s="147" customFormat="1"/>
    <row r="176" s="147" customFormat="1"/>
    <row r="177" s="147" customFormat="1"/>
    <row r="178" s="147" customFormat="1"/>
    <row r="179" s="147" customFormat="1"/>
    <row r="180" s="147" customFormat="1"/>
    <row r="181" s="147" customFormat="1"/>
    <row r="182" s="147" customFormat="1"/>
    <row r="183" s="147" customFormat="1"/>
    <row r="184" s="147" customFormat="1"/>
    <row r="185" s="147" customFormat="1"/>
    <row r="186" s="147" customFormat="1"/>
    <row r="187" s="147" customFormat="1"/>
    <row r="188" s="147" customFormat="1"/>
    <row r="189" s="147" customFormat="1"/>
    <row r="190" s="147" customFormat="1"/>
    <row r="191" s="147" customFormat="1"/>
    <row r="192" s="147" customFormat="1"/>
    <row r="193" s="147" customFormat="1"/>
    <row r="194" s="147" customFormat="1"/>
    <row r="195" s="147" customFormat="1"/>
    <row r="196" s="147" customFormat="1"/>
    <row r="197" s="147" customFormat="1"/>
    <row r="198" s="147" customFormat="1"/>
    <row r="199" s="147" customFormat="1"/>
    <row r="200" s="147" customFormat="1"/>
    <row r="201" s="147" customFormat="1"/>
    <row r="202" s="147" customFormat="1"/>
    <row r="203" s="147" customFormat="1"/>
    <row r="204" s="147" customFormat="1"/>
    <row r="205" s="147" customFormat="1"/>
    <row r="206" s="147" customFormat="1"/>
    <row r="207" s="147" customFormat="1"/>
    <row r="208" s="147" customFormat="1"/>
    <row r="209" s="147" customFormat="1"/>
    <row r="210" s="147" customFormat="1"/>
    <row r="211" s="147" customFormat="1"/>
    <row r="212" s="147" customFormat="1"/>
    <row r="213" s="147" customFormat="1"/>
    <row r="214" s="147" customFormat="1"/>
    <row r="215" s="147" customFormat="1"/>
    <row r="216" s="147" customFormat="1"/>
    <row r="217" s="147" customFormat="1"/>
    <row r="218" s="147" customFormat="1"/>
    <row r="219" s="147" customFormat="1"/>
    <row r="220" s="147" customFormat="1"/>
    <row r="221" s="147" customFormat="1"/>
    <row r="222" s="147" customFormat="1"/>
    <row r="223" s="147" customFormat="1"/>
    <row r="224" s="147" customFormat="1"/>
    <row r="225" s="147" customFormat="1"/>
    <row r="226" s="147" customFormat="1"/>
    <row r="227" s="147" customFormat="1"/>
    <row r="228" s="147" customFormat="1"/>
    <row r="229" s="147" customFormat="1"/>
    <row r="230" s="147" customFormat="1"/>
    <row r="231" s="147" customFormat="1"/>
    <row r="232" s="147" customFormat="1"/>
    <row r="233" s="147" customFormat="1"/>
    <row r="234" s="147" customFormat="1"/>
    <row r="235" s="147" customFormat="1"/>
    <row r="236" s="147" customFormat="1"/>
    <row r="237" s="147" customFormat="1"/>
    <row r="238" s="147" customFormat="1"/>
    <row r="239" s="147" customFormat="1"/>
    <row r="240" s="147" customFormat="1"/>
    <row r="241" s="147" customFormat="1"/>
    <row r="242" s="147" customFormat="1"/>
    <row r="243" s="147" customFormat="1"/>
    <row r="244" s="147" customFormat="1"/>
    <row r="245" s="147" customFormat="1"/>
    <row r="246" s="147" customFormat="1"/>
    <row r="247" s="147" customFormat="1"/>
    <row r="248" s="147" customFormat="1"/>
    <row r="249" s="147" customFormat="1"/>
    <row r="250" s="147" customFormat="1"/>
    <row r="251" s="147" customFormat="1"/>
    <row r="252" s="147" customFormat="1"/>
    <row r="253" s="147" customFormat="1"/>
    <row r="254" s="147" customFormat="1"/>
    <row r="255" s="147" customFormat="1"/>
    <row r="256" s="147" customFormat="1"/>
    <row r="257" s="147" customFormat="1"/>
    <row r="258" s="147" customFormat="1"/>
    <row r="259" s="147" customFormat="1"/>
    <row r="260" s="147" customFormat="1"/>
    <row r="261" s="147" customFormat="1"/>
    <row r="262" s="147" customFormat="1"/>
    <row r="263" s="147" customFormat="1"/>
    <row r="264" s="147" customFormat="1"/>
    <row r="265" s="147" customFormat="1"/>
    <row r="266" s="147" customFormat="1"/>
    <row r="267" s="147" customFormat="1"/>
    <row r="268" s="147" customFormat="1"/>
    <row r="269" s="147" customFormat="1"/>
    <row r="270" s="147" customFormat="1"/>
    <row r="271" s="147" customFormat="1"/>
    <row r="272" s="147" customFormat="1"/>
    <row r="273" s="147" customFormat="1"/>
    <row r="274" s="147" customFormat="1"/>
    <row r="275" s="147" customFormat="1"/>
    <row r="276" s="147" customFormat="1"/>
    <row r="277" s="147" customFormat="1"/>
    <row r="278" s="147" customFormat="1"/>
    <row r="279" s="147" customFormat="1"/>
    <row r="280" s="147" customFormat="1"/>
    <row r="281" s="147" customFormat="1"/>
    <row r="282" s="147" customFormat="1"/>
    <row r="283" s="147" customFormat="1"/>
    <row r="284" s="147" customFormat="1"/>
    <row r="285" s="147" customFormat="1"/>
    <row r="286" s="147" customFormat="1"/>
    <row r="287" s="147" customFormat="1"/>
    <row r="288" s="147" customFormat="1"/>
    <row r="289" s="147" customFormat="1"/>
    <row r="290" s="147" customFormat="1"/>
    <row r="291" s="147" customFormat="1"/>
    <row r="292" s="147" customFormat="1"/>
    <row r="293" s="147" customFormat="1"/>
    <row r="294" s="147" customFormat="1"/>
    <row r="295" s="147" customFormat="1"/>
    <row r="296" s="147" customFormat="1"/>
    <row r="297" s="147" customFormat="1"/>
    <row r="298" s="147" customFormat="1"/>
    <row r="299" s="147" customFormat="1"/>
    <row r="300" s="147" customFormat="1"/>
    <row r="301" s="147" customFormat="1"/>
    <row r="302" s="147" customFormat="1"/>
    <row r="303" s="147" customFormat="1"/>
    <row r="304" s="147" customFormat="1"/>
    <row r="305" s="147" customFormat="1"/>
    <row r="306" s="147" customFormat="1"/>
    <row r="307" s="147" customFormat="1"/>
    <row r="308" s="147" customFormat="1"/>
    <row r="309" s="147" customFormat="1"/>
    <row r="310" s="147" customFormat="1"/>
    <row r="311" s="147" customFormat="1"/>
    <row r="312" s="147" customFormat="1"/>
    <row r="313" s="147" customFormat="1"/>
    <row r="314" s="147" customFormat="1"/>
    <row r="315" s="147" customFormat="1"/>
    <row r="316" s="147" customFormat="1"/>
    <row r="317" s="147" customFormat="1"/>
    <row r="318" s="147" customFormat="1"/>
    <row r="319" s="147" customFormat="1"/>
    <row r="320" s="147" customFormat="1"/>
    <row r="321" s="147" customFormat="1"/>
    <row r="322" s="147" customFormat="1"/>
    <row r="323" s="147" customFormat="1"/>
    <row r="324" s="147" customFormat="1"/>
    <row r="325" s="147" customFormat="1"/>
    <row r="326" s="147" customFormat="1"/>
    <row r="327" s="147" customFormat="1"/>
    <row r="328" s="147" customFormat="1"/>
  </sheetData>
  <sheetProtection algorithmName="SHA-512" hashValue="LpD8WSICPnG2SS2dl6H+JKYUeiM1XFFfiL/cR3IpDzd5i+s0ME7DVk+tSIW0YIkurSqdABdg8WkTfGczi7RLug==" saltValue="k82CtH3tpYUNzGX852G3SA==" spinCount="100000" sheet="1" formatColumns="0" formatRows="0"/>
  <mergeCells count="89">
    <mergeCell ref="B3:S3"/>
    <mergeCell ref="B4:S6"/>
    <mergeCell ref="B8:S8"/>
    <mergeCell ref="B9:S9"/>
    <mergeCell ref="D14:F14"/>
    <mergeCell ref="G14:S14"/>
    <mergeCell ref="B10:C10"/>
    <mergeCell ref="B11:C11"/>
    <mergeCell ref="D13:F13"/>
    <mergeCell ref="D10:F10"/>
    <mergeCell ref="G13:S13"/>
    <mergeCell ref="B13:C22"/>
    <mergeCell ref="D15:F15"/>
    <mergeCell ref="G15:S15"/>
    <mergeCell ref="D19:F19"/>
    <mergeCell ref="G19:S19"/>
    <mergeCell ref="B23:C23"/>
    <mergeCell ref="B12:C12"/>
    <mergeCell ref="G10:S10"/>
    <mergeCell ref="D11:F11"/>
    <mergeCell ref="G11:S11"/>
    <mergeCell ref="D23:F23"/>
    <mergeCell ref="G23:S23"/>
    <mergeCell ref="D12:F12"/>
    <mergeCell ref="G12:S12"/>
    <mergeCell ref="D22:F22"/>
    <mergeCell ref="G22:S22"/>
    <mergeCell ref="D17:F17"/>
    <mergeCell ref="D18:F18"/>
    <mergeCell ref="G18:S18"/>
    <mergeCell ref="D21:F21"/>
    <mergeCell ref="G21:S21"/>
    <mergeCell ref="D20:F20"/>
    <mergeCell ref="G20:S20"/>
    <mergeCell ref="G17:S17"/>
    <mergeCell ref="D16:F16"/>
    <mergeCell ref="G16:S16"/>
    <mergeCell ref="D25:F25"/>
    <mergeCell ref="B26:C26"/>
    <mergeCell ref="D26:F26"/>
    <mergeCell ref="G29:S29"/>
    <mergeCell ref="D27:F27"/>
    <mergeCell ref="G27:S27"/>
    <mergeCell ref="D28:F28"/>
    <mergeCell ref="G28:S28"/>
    <mergeCell ref="G25:S25"/>
    <mergeCell ref="G26:S26"/>
    <mergeCell ref="B27:C28"/>
    <mergeCell ref="B29:C29"/>
    <mergeCell ref="D29:F29"/>
    <mergeCell ref="B24:C25"/>
    <mergeCell ref="D24:F24"/>
    <mergeCell ref="G24:S24"/>
    <mergeCell ref="B39:C39"/>
    <mergeCell ref="D39:F39"/>
    <mergeCell ref="G39:S39"/>
    <mergeCell ref="B32:S32"/>
    <mergeCell ref="B37:S37"/>
    <mergeCell ref="B38:C38"/>
    <mergeCell ref="D38:F38"/>
    <mergeCell ref="G38:S38"/>
    <mergeCell ref="C33:S33"/>
    <mergeCell ref="C34:S34"/>
    <mergeCell ref="C35:S35"/>
    <mergeCell ref="C36:S36"/>
    <mergeCell ref="B47:C47"/>
    <mergeCell ref="D47:F47"/>
    <mergeCell ref="G47:S47"/>
    <mergeCell ref="B45:C45"/>
    <mergeCell ref="D45:F45"/>
    <mergeCell ref="G45:S45"/>
    <mergeCell ref="B46:C46"/>
    <mergeCell ref="D46:F46"/>
    <mergeCell ref="G46:S46"/>
    <mergeCell ref="B44:C44"/>
    <mergeCell ref="D44:F44"/>
    <mergeCell ref="G44:S44"/>
    <mergeCell ref="B42:C42"/>
    <mergeCell ref="D42:F42"/>
    <mergeCell ref="G42:S42"/>
    <mergeCell ref="B43:C43"/>
    <mergeCell ref="D43:F43"/>
    <mergeCell ref="G43:S43"/>
    <mergeCell ref="B40:C40"/>
    <mergeCell ref="D40:F40"/>
    <mergeCell ref="G40:S40"/>
    <mergeCell ref="B41:C41"/>
    <mergeCell ref="D41:F41"/>
    <mergeCell ref="G41:S41"/>
  </mergeCells>
  <phoneticPr fontId="7" type="noConversion"/>
  <hyperlinks>
    <hyperlink ref="B11:C11" location="'Program Information'!A1" display="Program Information" xr:uid="{E872C0A5-94FA-477C-96CD-6881E3F07218}"/>
    <hyperlink ref="B12:C12" location="'Sequence Eligibility'!A1" display="Sequence Eligibility" xr:uid="{03096D07-8F57-4AFF-88D3-84C2D80074C5}"/>
    <hyperlink ref="B23:C23" location="'1. Pre-Inspection'!A1" display="1. Pre-Inspection Checklist" xr:uid="{F44EB588-E86D-4C18-BA90-99B8E49CEEC0}"/>
    <hyperlink ref="B13:C22" location="'2. User Inputs and Savings'!A1" display="2. User Inputs and Savings" xr:uid="{5DCA5485-A772-4414-AFD1-F72F55BEFF5F}"/>
    <hyperlink ref="B24:C25" location="'3. MRD Equipment List'!A1" display="3. MRD Equipment List" xr:uid="{25D003BF-E7B9-4C24-98A4-1F11605561F4}"/>
    <hyperlink ref="B26:C26" location="'4. Project MRD'!A1" display="4. Project MRD" xr:uid="{A3D89995-8406-409C-80F4-0D05CE191FA6}"/>
    <hyperlink ref="B27:C28" location="'EUI Benchmark'!A1" display="EUI Benchmark" xr:uid="{4860EFA8-C838-4125-B065-46DAEC6EDE88}"/>
    <hyperlink ref="B29:C29" location="'Project Notes - Optional'!A1" display="Project Notes - Optional" xr:uid="{5CE8E996-E9FA-4AB7-BF52-AF82A828024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70424-1D4C-431B-B8FD-A1C420F56FAC}">
  <sheetPr codeName="Sheet21">
    <tabColor theme="5" tint="0.79998168889431442"/>
  </sheetPr>
  <dimension ref="A1:BN436"/>
  <sheetViews>
    <sheetView zoomScale="85" zoomScaleNormal="85" workbookViewId="0">
      <selection activeCell="L20" sqref="L20"/>
    </sheetView>
  </sheetViews>
  <sheetFormatPr defaultRowHeight="14.45"/>
  <cols>
    <col min="1" max="1" width="4.85546875" style="147" customWidth="1"/>
    <col min="2" max="2" width="31.5703125" customWidth="1"/>
    <col min="3" max="3" width="10" customWidth="1"/>
    <col min="4" max="8" width="14.28515625" customWidth="1"/>
    <col min="9" max="9" width="15.28515625" style="346" hidden="1" customWidth="1"/>
    <col min="10" max="10" width="11.5703125" style="147" customWidth="1"/>
    <col min="11" max="11" width="22.85546875" style="147" customWidth="1"/>
    <col min="12" max="66" width="8.7109375" style="147"/>
  </cols>
  <sheetData>
    <row r="1" spans="1:66" s="147" customFormat="1" ht="26.1">
      <c r="A1" s="149"/>
      <c r="B1" s="149"/>
      <c r="I1" s="346"/>
    </row>
    <row r="2" spans="1:66" ht="22.5" customHeight="1">
      <c r="B2" s="1769" t="s">
        <v>414</v>
      </c>
      <c r="C2" s="1770"/>
      <c r="D2" s="1770"/>
      <c r="E2" s="1770"/>
      <c r="F2" s="1770"/>
      <c r="G2" s="1770"/>
      <c r="H2" s="1771"/>
      <c r="I2" s="347"/>
      <c r="J2" s="340"/>
      <c r="K2" s="357" t="s">
        <v>217</v>
      </c>
    </row>
    <row r="3" spans="1:66" ht="22.5" customHeight="1">
      <c r="B3" s="1576" t="s">
        <v>623</v>
      </c>
      <c r="C3" s="1577"/>
      <c r="D3" s="1577"/>
      <c r="E3" s="1577"/>
      <c r="F3" s="1577"/>
      <c r="G3" s="1577"/>
      <c r="H3" s="1578"/>
      <c r="I3" s="347"/>
      <c r="J3" s="340"/>
      <c r="K3" s="358" t="s">
        <v>226</v>
      </c>
    </row>
    <row r="4" spans="1:66" ht="22.5" customHeight="1">
      <c r="B4" s="1576"/>
      <c r="C4" s="1577"/>
      <c r="D4" s="1577"/>
      <c r="E4" s="1577"/>
      <c r="F4" s="1577"/>
      <c r="G4" s="1577"/>
      <c r="H4" s="1578"/>
      <c r="I4" s="347"/>
      <c r="J4" s="340"/>
      <c r="K4" s="359" t="s">
        <v>231</v>
      </c>
    </row>
    <row r="5" spans="1:66" ht="24.95" customHeight="1">
      <c r="B5" s="1579"/>
      <c r="C5" s="1580"/>
      <c r="D5" s="1580"/>
      <c r="E5" s="1580"/>
      <c r="F5" s="1580"/>
      <c r="G5" s="1580"/>
      <c r="H5" s="1581"/>
      <c r="I5" s="348"/>
      <c r="J5" s="275"/>
      <c r="K5" s="360" t="s">
        <v>624</v>
      </c>
    </row>
    <row r="6" spans="1:66" ht="27" customHeight="1">
      <c r="B6" s="281"/>
      <c r="C6" s="281"/>
      <c r="D6" s="281"/>
      <c r="E6" s="281"/>
      <c r="F6" s="281"/>
      <c r="G6" s="281"/>
      <c r="H6" s="281"/>
      <c r="I6" s="348"/>
      <c r="J6" s="275"/>
    </row>
    <row r="7" spans="1:66" ht="22.5" customHeight="1">
      <c r="B7" s="1769" t="s">
        <v>46</v>
      </c>
      <c r="C7" s="1770"/>
      <c r="D7" s="1770"/>
      <c r="E7" s="1770"/>
      <c r="F7" s="1770"/>
      <c r="G7" s="1770"/>
      <c r="H7" s="1771"/>
      <c r="I7" s="348"/>
      <c r="J7" s="275"/>
    </row>
    <row r="8" spans="1:66" ht="15.6" customHeight="1">
      <c r="B8" s="1772" t="s">
        <v>625</v>
      </c>
      <c r="C8" s="1773"/>
      <c r="D8" s="430" t="s">
        <v>626</v>
      </c>
      <c r="E8" s="1760" t="s">
        <v>578</v>
      </c>
      <c r="F8" s="1760"/>
      <c r="G8" s="1760" t="s">
        <v>627</v>
      </c>
      <c r="H8" s="1761"/>
      <c r="I8" s="348"/>
      <c r="BF8"/>
      <c r="BG8"/>
      <c r="BH8"/>
      <c r="BI8"/>
      <c r="BJ8"/>
      <c r="BK8"/>
      <c r="BL8"/>
      <c r="BM8"/>
      <c r="BN8"/>
    </row>
    <row r="9" spans="1:66" ht="15.6" customHeight="1">
      <c r="B9" s="1774"/>
      <c r="C9" s="1775"/>
      <c r="D9" s="431" t="s">
        <v>628</v>
      </c>
      <c r="E9" s="431" t="s">
        <v>629</v>
      </c>
      <c r="F9" s="431" t="s">
        <v>628</v>
      </c>
      <c r="G9" s="431" t="s">
        <v>630</v>
      </c>
      <c r="H9" s="432" t="s">
        <v>628</v>
      </c>
      <c r="I9" s="348"/>
      <c r="J9" s="275"/>
    </row>
    <row r="10" spans="1:66" ht="26.1" customHeight="1">
      <c r="B10" s="1776">
        <f>'User Inputs and Savings'!C17</f>
        <v>0</v>
      </c>
      <c r="C10" s="1777"/>
      <c r="D10" s="426">
        <f>IFERROR('Project Savings'!J57,0)</f>
        <v>0</v>
      </c>
      <c r="E10" s="427">
        <f>IFERROR(F10/'Project Savings'!D7,0)</f>
        <v>0</v>
      </c>
      <c r="F10" s="426">
        <f>IFERROR('Project Savings'!J55,0)</f>
        <v>0</v>
      </c>
      <c r="G10" s="427" t="s">
        <v>631</v>
      </c>
      <c r="H10" s="428">
        <f>IFERROR('Project Savings'!J56,0)</f>
        <v>0</v>
      </c>
      <c r="I10" s="349"/>
      <c r="J10" s="281"/>
      <c r="K10" s="328"/>
    </row>
    <row r="11" spans="1:66" s="95" customFormat="1" ht="15.6" customHeight="1">
      <c r="A11" s="335"/>
      <c r="B11" s="1764" t="s">
        <v>632</v>
      </c>
      <c r="C11" s="1765"/>
      <c r="D11" s="1765"/>
      <c r="E11" s="1765"/>
      <c r="F11" s="1765"/>
      <c r="G11" s="1765"/>
      <c r="H11" s="1766"/>
      <c r="I11" s="355"/>
      <c r="J11" s="281"/>
      <c r="K11" s="281"/>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5"/>
      <c r="BG11" s="335"/>
      <c r="BH11" s="335"/>
      <c r="BI11" s="335"/>
      <c r="BJ11" s="335"/>
      <c r="BK11" s="335"/>
      <c r="BL11" s="335"/>
      <c r="BM11" s="335"/>
      <c r="BN11" s="335"/>
    </row>
    <row r="12" spans="1:66" s="339" customFormat="1" ht="15.6" customHeight="1">
      <c r="A12" s="338"/>
      <c r="B12" s="1767" t="s">
        <v>633</v>
      </c>
      <c r="C12" s="1768"/>
      <c r="D12" s="1402" t="str">
        <f>IFERROR(IF(C49=1," more than 25% higher than benchmark.  Please review project inputs for accuracy.",IF(C50=1," more than 25% lower than benchmark.  Please review project inputs for accuracy."," comparable to benchmark.")),"Provide requested project information for feedback.")</f>
        <v>Provide requested project information for feedback.</v>
      </c>
      <c r="E12" s="1402"/>
      <c r="F12" s="1402"/>
      <c r="G12" s="1402"/>
      <c r="H12" s="1759"/>
      <c r="I12" s="356"/>
      <c r="J12" s="345"/>
      <c r="K12" s="345"/>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row>
    <row r="13" spans="1:66" s="339" customFormat="1" ht="15.6" customHeight="1">
      <c r="A13" s="338"/>
      <c r="B13" s="1767" t="s">
        <v>634</v>
      </c>
      <c r="C13" s="1768"/>
      <c r="D13" s="1402" t="str">
        <f>IFERROR(IF(D49=1," more than 25% higher than benchmark.  Please review project inputs for accuracy.",IF(D50=1," more than 25% lower than benchmark.  Please review project inputs for accuracy."," comparable to benchmark.")),"Provide requested project information for feedback.")</f>
        <v>Provide requested project information for feedback.</v>
      </c>
      <c r="E13" s="1402"/>
      <c r="F13" s="1402"/>
      <c r="G13" s="1402"/>
      <c r="H13" s="1759"/>
      <c r="I13" s="356"/>
      <c r="J13" s="345"/>
      <c r="K13" s="345"/>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c r="BJ13" s="338"/>
      <c r="BK13" s="338"/>
      <c r="BL13" s="338"/>
      <c r="BM13" s="338"/>
      <c r="BN13" s="338"/>
    </row>
    <row r="14" spans="1:66" s="339" customFormat="1" ht="15.6" customHeight="1">
      <c r="A14" s="338"/>
      <c r="B14" s="1782" t="s">
        <v>635</v>
      </c>
      <c r="C14" s="1783"/>
      <c r="D14" s="1346" t="str">
        <f>IFERROR(IF(E49=1," more than 25% higher than benchmark.  Please review project inputs for accuracy.",IF(E50=1," more than 25% lower than benchmark.  Please review project inputs for accuracy."," comparable to benchmark.")),"Provide requested project information for feedback.")</f>
        <v>Provide requested project information for feedback.</v>
      </c>
      <c r="E14" s="1346"/>
      <c r="F14" s="1346"/>
      <c r="G14" s="1346"/>
      <c r="H14" s="1784"/>
      <c r="I14" s="356"/>
      <c r="J14" s="345"/>
      <c r="K14" s="345"/>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8"/>
      <c r="BM14" s="338"/>
      <c r="BN14" s="338"/>
    </row>
    <row r="15" spans="1:66" s="147" customFormat="1" ht="13.5" customHeight="1">
      <c r="B15" s="365" t="s">
        <v>636</v>
      </c>
      <c r="I15" s="346"/>
    </row>
    <row r="16" spans="1:66" ht="18.95" customHeight="1">
      <c r="B16" s="1577"/>
      <c r="C16" s="1577"/>
      <c r="D16" s="1577"/>
      <c r="E16" s="1577"/>
      <c r="F16" s="1577"/>
      <c r="G16" s="1577"/>
      <c r="H16" s="281"/>
      <c r="I16" s="348"/>
      <c r="J16" s="275"/>
      <c r="K16" s="275"/>
    </row>
    <row r="17" spans="1:66" ht="22.5" customHeight="1">
      <c r="B17" s="423" t="s">
        <v>637</v>
      </c>
      <c r="C17" s="424"/>
      <c r="D17" s="424"/>
      <c r="E17" s="424"/>
      <c r="F17" s="424"/>
      <c r="G17" s="424"/>
      <c r="H17" s="425"/>
      <c r="I17" s="348"/>
      <c r="J17" s="275"/>
      <c r="K17" s="275"/>
    </row>
    <row r="18" spans="1:66" s="20" customFormat="1" ht="15.6" customHeight="1">
      <c r="A18" s="314"/>
      <c r="B18" s="1780" t="s">
        <v>625</v>
      </c>
      <c r="C18" s="1762" t="s">
        <v>638</v>
      </c>
      <c r="D18" s="430" t="s">
        <v>626</v>
      </c>
      <c r="E18" s="1785" t="s">
        <v>578</v>
      </c>
      <c r="F18" s="1786"/>
      <c r="G18" s="1785" t="s">
        <v>639</v>
      </c>
      <c r="H18" s="1787"/>
      <c r="I18" s="349"/>
      <c r="J18" s="281"/>
      <c r="K18" s="281"/>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row>
    <row r="19" spans="1:66" ht="15.6" customHeight="1">
      <c r="B19" s="1781"/>
      <c r="C19" s="1763"/>
      <c r="D19" s="431" t="s">
        <v>628</v>
      </c>
      <c r="E19" s="431" t="s">
        <v>629</v>
      </c>
      <c r="F19" s="431" t="s">
        <v>628</v>
      </c>
      <c r="G19" s="431" t="s">
        <v>640</v>
      </c>
      <c r="H19" s="432" t="s">
        <v>628</v>
      </c>
      <c r="I19" s="349" t="s">
        <v>641</v>
      </c>
      <c r="J19" s="281"/>
      <c r="K19" s="281"/>
    </row>
    <row r="20" spans="1:66" ht="15.6" customHeight="1">
      <c r="B20" s="433" t="s">
        <v>642</v>
      </c>
      <c r="C20" s="434" t="s">
        <v>643</v>
      </c>
      <c r="D20" s="435">
        <f>F20+H20</f>
        <v>297.90959999999995</v>
      </c>
      <c r="E20" s="435">
        <v>40.799999999999997</v>
      </c>
      <c r="F20" s="435">
        <f>E20*'Project Savings'!$D$7</f>
        <v>139.20959999999999</v>
      </c>
      <c r="G20" s="435">
        <f>H20/(1.037)</f>
        <v>153.03760848601735</v>
      </c>
      <c r="H20" s="436">
        <v>158.69999999999999</v>
      </c>
      <c r="I20" s="385">
        <f t="shared" ref="I20:I37" si="0">IF(B20=$B$10,1,0)</f>
        <v>0</v>
      </c>
      <c r="J20" s="415"/>
      <c r="K20" s="328"/>
    </row>
    <row r="21" spans="1:66" ht="15.6" customHeight="1">
      <c r="B21" s="341" t="s">
        <v>644</v>
      </c>
      <c r="C21" s="429" t="s">
        <v>645</v>
      </c>
      <c r="D21" s="361">
        <v>204.4</v>
      </c>
      <c r="E21" s="361">
        <v>29.7</v>
      </c>
      <c r="F21" s="361">
        <f>E21*'Project Savings'!$D$7</f>
        <v>101.3364</v>
      </c>
      <c r="G21" s="361">
        <f>H21/(1.037)</f>
        <v>99.386306653809086</v>
      </c>
      <c r="H21" s="362">
        <f>D21-F21</f>
        <v>103.06360000000001</v>
      </c>
      <c r="I21" s="349">
        <f t="shared" si="0"/>
        <v>0</v>
      </c>
      <c r="J21" s="415"/>
      <c r="K21" s="328"/>
    </row>
    <row r="22" spans="1:66" ht="15.6" customHeight="1">
      <c r="B22" s="341" t="s">
        <v>646</v>
      </c>
      <c r="C22" s="429" t="s">
        <v>647</v>
      </c>
      <c r="D22" s="361">
        <v>190</v>
      </c>
      <c r="E22" s="361">
        <v>22.4</v>
      </c>
      <c r="F22" s="361">
        <f>E22*'Project Savings'!$D$7</f>
        <v>76.428799999999995</v>
      </c>
      <c r="G22" s="361">
        <v>89.5</v>
      </c>
      <c r="H22" s="362">
        <f>G22*(1.037)</f>
        <v>92.811499999999995</v>
      </c>
      <c r="I22" s="349">
        <f t="shared" si="0"/>
        <v>0</v>
      </c>
      <c r="J22" s="415"/>
      <c r="K22" s="328"/>
    </row>
    <row r="23" spans="1:66" ht="15.6" customHeight="1">
      <c r="B23" s="341" t="s">
        <v>648</v>
      </c>
      <c r="C23" s="429" t="s">
        <v>647</v>
      </c>
      <c r="D23" s="361">
        <v>141.19999999999999</v>
      </c>
      <c r="E23" s="361">
        <v>31.4</v>
      </c>
      <c r="F23" s="361">
        <f>E23*'Project Savings'!$D$7</f>
        <v>107.13679999999999</v>
      </c>
      <c r="G23" s="361">
        <v>38.700000000000003</v>
      </c>
      <c r="H23" s="362">
        <f t="shared" ref="H23:H31" si="1">G23*(1.037)</f>
        <v>40.131900000000002</v>
      </c>
      <c r="I23" s="349">
        <f t="shared" si="0"/>
        <v>0</v>
      </c>
      <c r="J23" s="415"/>
      <c r="K23" s="328"/>
    </row>
    <row r="24" spans="1:66" ht="15.6" customHeight="1">
      <c r="B24" s="341" t="s">
        <v>649</v>
      </c>
      <c r="C24" s="429" t="s">
        <v>647</v>
      </c>
      <c r="D24" s="361">
        <v>135.19999999999999</v>
      </c>
      <c r="E24" s="361">
        <v>19</v>
      </c>
      <c r="F24" s="361">
        <f>E24*'Project Savings'!$D$7</f>
        <v>64.828000000000003</v>
      </c>
      <c r="G24" s="361">
        <v>58.2</v>
      </c>
      <c r="H24" s="362">
        <f t="shared" si="1"/>
        <v>60.353400000000001</v>
      </c>
      <c r="I24" s="349">
        <f t="shared" si="0"/>
        <v>0</v>
      </c>
      <c r="J24" s="415"/>
      <c r="K24" s="328"/>
    </row>
    <row r="25" spans="1:66" ht="15.6" customHeight="1">
      <c r="B25" s="341" t="s">
        <v>650</v>
      </c>
      <c r="C25" s="429" t="s">
        <v>647</v>
      </c>
      <c r="D25" s="361">
        <v>112.1</v>
      </c>
      <c r="E25" s="361">
        <v>17.899999999999999</v>
      </c>
      <c r="F25" s="361">
        <f>E25*'Project Savings'!$D$7</f>
        <v>61.074799999999996</v>
      </c>
      <c r="G25" s="361">
        <v>49.2</v>
      </c>
      <c r="H25" s="362">
        <f t="shared" si="1"/>
        <v>51.020400000000002</v>
      </c>
      <c r="I25" s="349">
        <f t="shared" si="0"/>
        <v>0</v>
      </c>
      <c r="J25" s="415"/>
      <c r="K25" s="328"/>
    </row>
    <row r="26" spans="1:66" ht="15.6" customHeight="1">
      <c r="B26" s="341" t="s">
        <v>651</v>
      </c>
      <c r="C26" s="429" t="s">
        <v>647</v>
      </c>
      <c r="D26" s="361">
        <v>92.7</v>
      </c>
      <c r="E26" s="361">
        <v>13.7</v>
      </c>
      <c r="F26" s="361">
        <f>E26*'Project Savings'!$D$7</f>
        <v>46.744399999999999</v>
      </c>
      <c r="G26" s="361">
        <v>45.7</v>
      </c>
      <c r="H26" s="362">
        <f t="shared" si="1"/>
        <v>47.390900000000002</v>
      </c>
      <c r="I26" s="349">
        <f t="shared" si="0"/>
        <v>0</v>
      </c>
      <c r="J26" s="415"/>
      <c r="K26" s="328"/>
    </row>
    <row r="27" spans="1:66" ht="15.6" customHeight="1">
      <c r="B27" s="341" t="s">
        <v>652</v>
      </c>
      <c r="C27" s="429" t="s">
        <v>647</v>
      </c>
      <c r="D27" s="361">
        <v>88.2</v>
      </c>
      <c r="E27" s="361">
        <v>15.1</v>
      </c>
      <c r="F27" s="361">
        <f>E27*'Project Savings'!$D$7</f>
        <v>51.5212</v>
      </c>
      <c r="G27" s="361">
        <v>41.9</v>
      </c>
      <c r="H27" s="362">
        <f t="shared" si="1"/>
        <v>43.450299999999999</v>
      </c>
      <c r="I27" s="349">
        <f t="shared" si="0"/>
        <v>0</v>
      </c>
      <c r="J27" s="415"/>
      <c r="K27" s="328"/>
    </row>
    <row r="28" spans="1:66" ht="15.6" customHeight="1">
      <c r="B28" s="341" t="s">
        <v>653</v>
      </c>
      <c r="C28" s="429" t="s">
        <v>647</v>
      </c>
      <c r="D28" s="361">
        <v>86.5</v>
      </c>
      <c r="E28" s="361">
        <v>15.9</v>
      </c>
      <c r="F28" s="361">
        <f>E28*'Project Savings'!$D$7</f>
        <v>54.250799999999998</v>
      </c>
      <c r="G28" s="361">
        <v>30.9</v>
      </c>
      <c r="H28" s="362">
        <f t="shared" si="1"/>
        <v>32.043299999999995</v>
      </c>
      <c r="I28" s="349">
        <f t="shared" si="0"/>
        <v>0</v>
      </c>
      <c r="J28" s="415"/>
      <c r="K28" s="328"/>
    </row>
    <row r="29" spans="1:66" ht="15.6" customHeight="1">
      <c r="B29" s="341" t="s">
        <v>654</v>
      </c>
      <c r="C29" s="429" t="s">
        <v>647</v>
      </c>
      <c r="D29" s="361">
        <v>86</v>
      </c>
      <c r="E29" s="361">
        <v>9.6</v>
      </c>
      <c r="F29" s="361">
        <f>E29*'Project Savings'!$D$7</f>
        <v>32.755199999999995</v>
      </c>
      <c r="G29" s="361">
        <v>52.6</v>
      </c>
      <c r="H29" s="362">
        <f t="shared" si="1"/>
        <v>54.546199999999999</v>
      </c>
      <c r="I29" s="349">
        <f t="shared" si="0"/>
        <v>0</v>
      </c>
      <c r="J29" s="415"/>
      <c r="K29" s="328"/>
    </row>
    <row r="30" spans="1:66" ht="15.6" customHeight="1">
      <c r="B30" s="341" t="s">
        <v>655</v>
      </c>
      <c r="C30" s="429" t="s">
        <v>647</v>
      </c>
      <c r="D30" s="361">
        <v>74.3</v>
      </c>
      <c r="E30" s="361">
        <v>13.8</v>
      </c>
      <c r="F30" s="361">
        <f>E30*'Project Savings'!$D$7</f>
        <v>47.085599999999999</v>
      </c>
      <c r="G30" s="361">
        <v>20.6</v>
      </c>
      <c r="H30" s="362">
        <f t="shared" si="1"/>
        <v>21.362200000000001</v>
      </c>
      <c r="I30" s="349">
        <f t="shared" si="0"/>
        <v>0</v>
      </c>
      <c r="J30" s="415"/>
      <c r="K30" s="328"/>
    </row>
    <row r="31" spans="1:66" ht="15.6" customHeight="1">
      <c r="B31" s="341" t="s">
        <v>656</v>
      </c>
      <c r="C31" s="429" t="s">
        <v>647</v>
      </c>
      <c r="D31" s="361">
        <v>73.2</v>
      </c>
      <c r="E31" s="361">
        <v>7.9</v>
      </c>
      <c r="F31" s="361">
        <f>E31*'Project Savings'!$D$7</f>
        <v>26.954800000000002</v>
      </c>
      <c r="G31" s="361">
        <v>41.5</v>
      </c>
      <c r="H31" s="362">
        <f t="shared" si="1"/>
        <v>43.035499999999999</v>
      </c>
      <c r="I31" s="349">
        <f t="shared" si="0"/>
        <v>0</v>
      </c>
      <c r="J31" s="415"/>
      <c r="K31" s="328"/>
    </row>
    <row r="32" spans="1:66" ht="15.6" customHeight="1">
      <c r="B32" s="341" t="s">
        <v>657</v>
      </c>
      <c r="C32" s="429" t="s">
        <v>645</v>
      </c>
      <c r="D32" s="361">
        <v>58.4</v>
      </c>
      <c r="E32" s="361">
        <f>F32/'Project Savings'!$D$7</f>
        <v>9.9941383352872215</v>
      </c>
      <c r="F32" s="361">
        <v>34.1</v>
      </c>
      <c r="G32" s="361">
        <f>H32/(1.037)</f>
        <v>21.890067502410801</v>
      </c>
      <c r="H32" s="362">
        <v>22.7</v>
      </c>
      <c r="I32" s="349">
        <f t="shared" si="0"/>
        <v>0</v>
      </c>
      <c r="J32" s="415"/>
      <c r="K32" s="328"/>
    </row>
    <row r="33" spans="2:11" ht="15.6" customHeight="1">
      <c r="B33" s="341" t="s">
        <v>658</v>
      </c>
      <c r="C33" s="429" t="s">
        <v>647</v>
      </c>
      <c r="D33" s="361">
        <v>57</v>
      </c>
      <c r="E33" s="361">
        <v>11.3</v>
      </c>
      <c r="F33" s="361">
        <f>E33*'Project Savings'!$D$7</f>
        <v>38.555599999999998</v>
      </c>
      <c r="G33" s="361">
        <v>25</v>
      </c>
      <c r="H33" s="362">
        <f>G33*(1.037)</f>
        <v>25.924999999999997</v>
      </c>
      <c r="I33" s="349">
        <f t="shared" si="0"/>
        <v>0</v>
      </c>
      <c r="J33" s="415"/>
      <c r="K33" s="328"/>
    </row>
    <row r="34" spans="2:11" ht="15.6" customHeight="1">
      <c r="B34" s="341" t="s">
        <v>659</v>
      </c>
      <c r="C34" s="429" t="s">
        <v>647</v>
      </c>
      <c r="D34" s="361">
        <v>54.9</v>
      </c>
      <c r="E34" s="361">
        <v>5.0999999999999996</v>
      </c>
      <c r="F34" s="361">
        <f>E34*'Project Savings'!$D$7</f>
        <v>17.401199999999999</v>
      </c>
      <c r="G34" s="361">
        <v>33.799999999999997</v>
      </c>
      <c r="H34" s="362">
        <f>G34*(1.037)</f>
        <v>35.050599999999996</v>
      </c>
      <c r="I34" s="349">
        <f t="shared" si="0"/>
        <v>0</v>
      </c>
      <c r="J34" s="415"/>
      <c r="K34" s="328"/>
    </row>
    <row r="35" spans="2:11" ht="15.6" customHeight="1">
      <c r="B35" s="414" t="s">
        <v>660</v>
      </c>
      <c r="C35" s="429" t="s">
        <v>647</v>
      </c>
      <c r="D35" s="361">
        <v>52.2</v>
      </c>
      <c r="E35" s="361">
        <v>7.3</v>
      </c>
      <c r="F35" s="361">
        <f>E35*'Project Savings'!$D$7</f>
        <v>24.907599999999999</v>
      </c>
      <c r="G35" s="361">
        <v>38.200000000000003</v>
      </c>
      <c r="H35" s="362">
        <f>G35*(1.037)</f>
        <v>39.613399999999999</v>
      </c>
      <c r="I35" s="349">
        <f t="shared" si="0"/>
        <v>0</v>
      </c>
      <c r="J35" s="415"/>
      <c r="K35" s="328"/>
    </row>
    <row r="36" spans="2:11" ht="15.6" customHeight="1">
      <c r="B36" s="341" t="s">
        <v>661</v>
      </c>
      <c r="C36" s="429" t="s">
        <v>647</v>
      </c>
      <c r="D36" s="361">
        <v>35</v>
      </c>
      <c r="E36" s="361">
        <v>6</v>
      </c>
      <c r="F36" s="361">
        <f>E36*'Project Savings'!$D$7</f>
        <v>20.472000000000001</v>
      </c>
      <c r="G36" s="361">
        <v>19.3</v>
      </c>
      <c r="H36" s="362">
        <f>G36*(1.037)</f>
        <v>20.014099999999999</v>
      </c>
      <c r="I36" s="349">
        <f t="shared" si="0"/>
        <v>0</v>
      </c>
      <c r="J36" s="415"/>
      <c r="K36" s="328"/>
    </row>
    <row r="37" spans="2:11" ht="15.6" customHeight="1">
      <c r="B37" s="342" t="s">
        <v>662</v>
      </c>
      <c r="C37" s="437" t="s">
        <v>645</v>
      </c>
      <c r="D37" s="363">
        <v>14.1</v>
      </c>
      <c r="E37" s="363">
        <f>F37/'Project Savings'!$D$7</f>
        <v>3.1652989449003521</v>
      </c>
      <c r="F37" s="363">
        <v>10.8</v>
      </c>
      <c r="G37" s="363">
        <f>H37/(1.037)</f>
        <v>3.278688524590164</v>
      </c>
      <c r="H37" s="364">
        <v>3.4</v>
      </c>
      <c r="I37" s="349">
        <f t="shared" si="0"/>
        <v>0</v>
      </c>
      <c r="J37" s="415"/>
      <c r="K37" s="328"/>
    </row>
    <row r="38" spans="2:11" s="147" customFormat="1" ht="134.44999999999999" customHeight="1">
      <c r="B38" s="1779" t="s">
        <v>663</v>
      </c>
      <c r="C38" s="1779"/>
      <c r="D38" s="1779"/>
      <c r="E38" s="1779"/>
      <c r="F38" s="1779"/>
      <c r="G38" s="1779"/>
      <c r="H38" s="420"/>
      <c r="I38" s="346"/>
    </row>
    <row r="39" spans="2:11" s="147" customFormat="1" ht="33.6" customHeight="1">
      <c r="B39" s="1778" t="s">
        <v>664</v>
      </c>
      <c r="C39" s="1778"/>
      <c r="D39" s="1778"/>
      <c r="E39" s="1778"/>
      <c r="F39" s="1778"/>
      <c r="G39" s="1778"/>
      <c r="H39" s="419"/>
      <c r="I39" s="346"/>
    </row>
    <row r="40" spans="2:11" s="147" customFormat="1" ht="34.5" customHeight="1">
      <c r="B40" s="1778" t="s">
        <v>665</v>
      </c>
      <c r="C40" s="1778"/>
      <c r="D40" s="1778"/>
      <c r="E40" s="1778"/>
      <c r="F40" s="1778"/>
      <c r="G40" s="1778"/>
      <c r="H40" s="419"/>
      <c r="I40" s="346"/>
    </row>
    <row r="41" spans="2:11" s="147" customFormat="1">
      <c r="I41" s="346"/>
    </row>
    <row r="42" spans="2:11" s="346" customFormat="1" hidden="1">
      <c r="B42" s="350" t="s">
        <v>666</v>
      </c>
      <c r="C42" s="351"/>
      <c r="D42" s="351"/>
      <c r="E42" s="351"/>
      <c r="F42" s="351"/>
      <c r="G42" s="351"/>
      <c r="H42" s="351"/>
      <c r="I42" s="349">
        <f>IF(B42=$B$10,1,0)</f>
        <v>0</v>
      </c>
    </row>
    <row r="43" spans="2:11" s="346" customFormat="1" ht="14.45" hidden="1" customHeight="1">
      <c r="B43" s="352" t="s">
        <v>667</v>
      </c>
      <c r="C43" s="352">
        <v>3</v>
      </c>
      <c r="D43" s="352">
        <v>4</v>
      </c>
      <c r="E43" s="352">
        <v>5</v>
      </c>
      <c r="F43" s="352">
        <v>6</v>
      </c>
      <c r="G43" s="352">
        <v>7</v>
      </c>
    </row>
    <row r="44" spans="2:11" s="346" customFormat="1" ht="14.45" hidden="1" customHeight="1">
      <c r="B44" s="352" t="s">
        <v>48</v>
      </c>
      <c r="C44" s="353" t="e">
        <f>VLOOKUP($B$10,$B$20:$H$37,C43,FALSE)</f>
        <v>#N/A</v>
      </c>
      <c r="D44" s="353" t="e">
        <f>VLOOKUP($B$10,$B$20:$I$37,D43,FALSE)</f>
        <v>#N/A</v>
      </c>
      <c r="E44" s="353" t="e">
        <f t="shared" ref="E44:G44" si="2">VLOOKUP($B$10,$B$20:$I$37,E43,FALSE)</f>
        <v>#N/A</v>
      </c>
      <c r="F44" s="353" t="e">
        <f t="shared" si="2"/>
        <v>#N/A</v>
      </c>
      <c r="G44" s="353" t="e">
        <f t="shared" si="2"/>
        <v>#N/A</v>
      </c>
      <c r="H44" s="421"/>
    </row>
    <row r="45" spans="2:11" s="346" customFormat="1" ht="14.45" hidden="1" customHeight="1">
      <c r="B45" s="352" t="s">
        <v>668</v>
      </c>
      <c r="C45" s="354" t="e">
        <f>C$44+(0.25*C$44)</f>
        <v>#N/A</v>
      </c>
      <c r="D45" s="354" t="e">
        <f>D$44+(0.25*D$44)</f>
        <v>#N/A</v>
      </c>
      <c r="E45" s="354" t="e">
        <f>E$44+(0.25*E$44)</f>
        <v>#N/A</v>
      </c>
      <c r="F45" s="354" t="e">
        <f>F$44+(0.25*F$44)</f>
        <v>#N/A</v>
      </c>
      <c r="G45" s="354" t="e">
        <f>G$44+(0.25*G$44)</f>
        <v>#N/A</v>
      </c>
      <c r="H45" s="413"/>
    </row>
    <row r="46" spans="2:11" s="346" customFormat="1" hidden="1">
      <c r="B46" s="352" t="s">
        <v>669</v>
      </c>
      <c r="C46" s="354" t="e">
        <f>C$44-(0.25*C$44)</f>
        <v>#N/A</v>
      </c>
      <c r="D46" s="354" t="e">
        <f>D$44-(0.25*D$44)</f>
        <v>#N/A</v>
      </c>
      <c r="E46" s="354" t="e">
        <f>E$44-(0.25*E$44)</f>
        <v>#N/A</v>
      </c>
      <c r="F46" s="354" t="e">
        <f>F$44-(0.25*F$44)</f>
        <v>#N/A</v>
      </c>
      <c r="G46" s="354" t="e">
        <f>G$44-(0.25*G$44)</f>
        <v>#N/A</v>
      </c>
      <c r="H46" s="413"/>
    </row>
    <row r="47" spans="2:11" s="346" customFormat="1" hidden="1">
      <c r="C47" s="413"/>
      <c r="D47" s="413"/>
      <c r="E47" s="413"/>
      <c r="F47" s="413"/>
      <c r="G47" s="413"/>
      <c r="H47" s="413"/>
    </row>
    <row r="48" spans="2:11" s="346" customFormat="1" hidden="1">
      <c r="B48" s="352" t="s">
        <v>670</v>
      </c>
      <c r="C48" s="352" t="s">
        <v>671</v>
      </c>
      <c r="D48" s="352" t="s">
        <v>578</v>
      </c>
      <c r="E48" s="352" t="s">
        <v>581</v>
      </c>
      <c r="F48" s="413"/>
      <c r="G48" s="413"/>
      <c r="H48" s="413"/>
    </row>
    <row r="49" spans="2:9" s="346" customFormat="1" hidden="1">
      <c r="B49" s="352" t="s">
        <v>672</v>
      </c>
      <c r="C49" s="352" t="e">
        <f>IF(D10&gt;C45,1,0)</f>
        <v>#N/A</v>
      </c>
      <c r="D49" s="352" t="e">
        <f>IF(F10&gt;E45,1,0)</f>
        <v>#N/A</v>
      </c>
      <c r="E49" s="352" t="e">
        <f>IF(H10&gt;G45,1,0)</f>
        <v>#N/A</v>
      </c>
      <c r="F49" s="413"/>
      <c r="G49" s="413"/>
      <c r="H49" s="413"/>
    </row>
    <row r="50" spans="2:9" s="346" customFormat="1" hidden="1">
      <c r="B50" s="352" t="s">
        <v>673</v>
      </c>
      <c r="C50" s="352" t="e">
        <f>IF(D10&lt;C46,1,0)</f>
        <v>#N/A</v>
      </c>
      <c r="D50" s="352" t="e">
        <f>IF(F10&lt;E46,1,0)</f>
        <v>#N/A</v>
      </c>
      <c r="E50" s="352" t="e">
        <f>IF(H10&lt;G46,1,0)</f>
        <v>#N/A</v>
      </c>
      <c r="F50" s="413"/>
      <c r="G50" s="413"/>
      <c r="H50" s="413"/>
    </row>
    <row r="51" spans="2:9" s="346" customFormat="1" hidden="1">
      <c r="B51" s="352" t="s">
        <v>674</v>
      </c>
      <c r="C51" s="352" t="e">
        <f>C49+C50</f>
        <v>#N/A</v>
      </c>
      <c r="D51" s="352" t="e">
        <f t="shared" ref="D51:E51" si="3">D49+D50</f>
        <v>#N/A</v>
      </c>
      <c r="E51" s="352" t="e">
        <f t="shared" si="3"/>
        <v>#N/A</v>
      </c>
      <c r="F51" s="413"/>
      <c r="G51" s="413"/>
      <c r="H51" s="413"/>
    </row>
    <row r="52" spans="2:9" s="346" customFormat="1" hidden="1">
      <c r="F52" s="413"/>
      <c r="G52" s="413"/>
      <c r="H52" s="413"/>
    </row>
    <row r="53" spans="2:9" s="147" customFormat="1">
      <c r="I53" s="346"/>
    </row>
    <row r="54" spans="2:9" s="147" customFormat="1">
      <c r="I54" s="346"/>
    </row>
    <row r="55" spans="2:9" s="147" customFormat="1">
      <c r="I55" s="346"/>
    </row>
    <row r="56" spans="2:9" s="147" customFormat="1">
      <c r="I56" s="346"/>
    </row>
    <row r="57" spans="2:9" s="147" customFormat="1">
      <c r="I57" s="346"/>
    </row>
    <row r="58" spans="2:9" s="147" customFormat="1">
      <c r="I58" s="346"/>
    </row>
    <row r="59" spans="2:9" s="147" customFormat="1">
      <c r="I59" s="346"/>
    </row>
    <row r="60" spans="2:9" s="147" customFormat="1">
      <c r="I60" s="346"/>
    </row>
    <row r="61" spans="2:9" s="147" customFormat="1">
      <c r="I61" s="346"/>
    </row>
    <row r="62" spans="2:9" s="147" customFormat="1">
      <c r="I62" s="346"/>
    </row>
    <row r="63" spans="2:9" s="147" customFormat="1">
      <c r="I63" s="346"/>
    </row>
    <row r="64" spans="2:9" s="147" customFormat="1">
      <c r="I64" s="346"/>
    </row>
    <row r="65" spans="9:9" s="147" customFormat="1">
      <c r="I65" s="346"/>
    </row>
    <row r="66" spans="9:9" s="147" customFormat="1">
      <c r="I66" s="346"/>
    </row>
    <row r="67" spans="9:9" s="147" customFormat="1">
      <c r="I67" s="346"/>
    </row>
    <row r="68" spans="9:9" s="147" customFormat="1">
      <c r="I68" s="346"/>
    </row>
    <row r="69" spans="9:9" s="147" customFormat="1">
      <c r="I69" s="346"/>
    </row>
    <row r="70" spans="9:9" s="147" customFormat="1">
      <c r="I70" s="346"/>
    </row>
    <row r="71" spans="9:9" s="147" customFormat="1">
      <c r="I71" s="346"/>
    </row>
    <row r="72" spans="9:9" s="147" customFormat="1">
      <c r="I72" s="346"/>
    </row>
    <row r="73" spans="9:9" s="147" customFormat="1">
      <c r="I73" s="346"/>
    </row>
    <row r="74" spans="9:9" s="147" customFormat="1">
      <c r="I74" s="346"/>
    </row>
    <row r="75" spans="9:9" s="147" customFormat="1">
      <c r="I75" s="346"/>
    </row>
    <row r="76" spans="9:9" s="147" customFormat="1">
      <c r="I76" s="346"/>
    </row>
    <row r="77" spans="9:9" s="147" customFormat="1">
      <c r="I77" s="346"/>
    </row>
    <row r="78" spans="9:9" s="147" customFormat="1">
      <c r="I78" s="346"/>
    </row>
    <row r="79" spans="9:9" s="147" customFormat="1">
      <c r="I79" s="346"/>
    </row>
    <row r="80" spans="9:9" s="147" customFormat="1">
      <c r="I80" s="346"/>
    </row>
    <row r="81" spans="9:9" s="147" customFormat="1">
      <c r="I81" s="346"/>
    </row>
    <row r="82" spans="9:9" s="147" customFormat="1">
      <c r="I82" s="346"/>
    </row>
    <row r="83" spans="9:9" s="147" customFormat="1">
      <c r="I83" s="346"/>
    </row>
    <row r="84" spans="9:9" s="147" customFormat="1">
      <c r="I84" s="346"/>
    </row>
    <row r="85" spans="9:9" s="147" customFormat="1">
      <c r="I85" s="346"/>
    </row>
    <row r="86" spans="9:9" s="147" customFormat="1">
      <c r="I86" s="346"/>
    </row>
    <row r="87" spans="9:9" s="147" customFormat="1">
      <c r="I87" s="346"/>
    </row>
    <row r="88" spans="9:9" s="147" customFormat="1">
      <c r="I88" s="346"/>
    </row>
    <row r="89" spans="9:9" s="147" customFormat="1">
      <c r="I89" s="346"/>
    </row>
    <row r="90" spans="9:9" s="147" customFormat="1">
      <c r="I90" s="346"/>
    </row>
    <row r="91" spans="9:9" s="147" customFormat="1">
      <c r="I91" s="346"/>
    </row>
    <row r="92" spans="9:9" s="147" customFormat="1">
      <c r="I92" s="346"/>
    </row>
    <row r="93" spans="9:9" s="147" customFormat="1">
      <c r="I93" s="346"/>
    </row>
    <row r="94" spans="9:9" s="147" customFormat="1">
      <c r="I94" s="346"/>
    </row>
    <row r="95" spans="9:9" s="147" customFormat="1">
      <c r="I95" s="346"/>
    </row>
    <row r="96" spans="9:9" s="147" customFormat="1">
      <c r="I96" s="346"/>
    </row>
    <row r="97" spans="9:9" s="147" customFormat="1">
      <c r="I97" s="346"/>
    </row>
    <row r="98" spans="9:9" s="147" customFormat="1">
      <c r="I98" s="346"/>
    </row>
    <row r="99" spans="9:9" s="147" customFormat="1">
      <c r="I99" s="346"/>
    </row>
    <row r="100" spans="9:9" s="147" customFormat="1">
      <c r="I100" s="346"/>
    </row>
    <row r="101" spans="9:9" s="147" customFormat="1">
      <c r="I101" s="346"/>
    </row>
    <row r="102" spans="9:9" s="147" customFormat="1">
      <c r="I102" s="346"/>
    </row>
    <row r="103" spans="9:9" s="147" customFormat="1">
      <c r="I103" s="346"/>
    </row>
    <row r="104" spans="9:9" s="147" customFormat="1">
      <c r="I104" s="346"/>
    </row>
    <row r="105" spans="9:9" s="147" customFormat="1">
      <c r="I105" s="346"/>
    </row>
    <row r="106" spans="9:9" s="147" customFormat="1">
      <c r="I106" s="346"/>
    </row>
    <row r="107" spans="9:9" s="147" customFormat="1">
      <c r="I107" s="346"/>
    </row>
    <row r="108" spans="9:9" s="147" customFormat="1">
      <c r="I108" s="346"/>
    </row>
    <row r="109" spans="9:9" s="147" customFormat="1">
      <c r="I109" s="346"/>
    </row>
    <row r="110" spans="9:9" s="147" customFormat="1">
      <c r="I110" s="346"/>
    </row>
    <row r="111" spans="9:9" s="147" customFormat="1">
      <c r="I111" s="346"/>
    </row>
    <row r="112" spans="9:9" s="147" customFormat="1">
      <c r="I112" s="346"/>
    </row>
    <row r="113" spans="9:9" s="147" customFormat="1">
      <c r="I113" s="346"/>
    </row>
    <row r="114" spans="9:9" s="147" customFormat="1">
      <c r="I114" s="346"/>
    </row>
    <row r="115" spans="9:9" s="147" customFormat="1">
      <c r="I115" s="346"/>
    </row>
    <row r="116" spans="9:9" s="147" customFormat="1">
      <c r="I116" s="346"/>
    </row>
    <row r="117" spans="9:9" s="147" customFormat="1">
      <c r="I117" s="346"/>
    </row>
    <row r="118" spans="9:9" s="147" customFormat="1">
      <c r="I118" s="346"/>
    </row>
    <row r="119" spans="9:9" s="147" customFormat="1">
      <c r="I119" s="346"/>
    </row>
    <row r="120" spans="9:9" s="147" customFormat="1">
      <c r="I120" s="346"/>
    </row>
    <row r="121" spans="9:9" s="147" customFormat="1">
      <c r="I121" s="346"/>
    </row>
    <row r="122" spans="9:9" s="147" customFormat="1">
      <c r="I122" s="346"/>
    </row>
    <row r="123" spans="9:9" s="147" customFormat="1">
      <c r="I123" s="346"/>
    </row>
    <row r="124" spans="9:9" s="147" customFormat="1">
      <c r="I124" s="346"/>
    </row>
    <row r="125" spans="9:9" s="147" customFormat="1">
      <c r="I125" s="346"/>
    </row>
    <row r="126" spans="9:9" s="147" customFormat="1">
      <c r="I126" s="346"/>
    </row>
    <row r="127" spans="9:9" s="147" customFormat="1">
      <c r="I127" s="346"/>
    </row>
    <row r="128" spans="9:9" s="147" customFormat="1">
      <c r="I128" s="346"/>
    </row>
    <row r="129" spans="9:9" s="147" customFormat="1">
      <c r="I129" s="346"/>
    </row>
    <row r="130" spans="9:9" s="147" customFormat="1">
      <c r="I130" s="346"/>
    </row>
    <row r="131" spans="9:9" s="147" customFormat="1">
      <c r="I131" s="346"/>
    </row>
    <row r="132" spans="9:9" s="147" customFormat="1">
      <c r="I132" s="346"/>
    </row>
    <row r="133" spans="9:9" s="147" customFormat="1">
      <c r="I133" s="346"/>
    </row>
    <row r="134" spans="9:9" s="147" customFormat="1">
      <c r="I134" s="346"/>
    </row>
    <row r="135" spans="9:9" s="147" customFormat="1">
      <c r="I135" s="346"/>
    </row>
    <row r="136" spans="9:9" s="147" customFormat="1">
      <c r="I136" s="346"/>
    </row>
    <row r="137" spans="9:9" s="147" customFormat="1">
      <c r="I137" s="346"/>
    </row>
    <row r="138" spans="9:9" s="147" customFormat="1">
      <c r="I138" s="346"/>
    </row>
    <row r="139" spans="9:9" s="147" customFormat="1">
      <c r="I139" s="346"/>
    </row>
    <row r="140" spans="9:9" s="147" customFormat="1">
      <c r="I140" s="346"/>
    </row>
    <row r="141" spans="9:9" s="147" customFormat="1">
      <c r="I141" s="346"/>
    </row>
    <row r="142" spans="9:9" s="147" customFormat="1">
      <c r="I142" s="346"/>
    </row>
    <row r="143" spans="9:9" s="147" customFormat="1">
      <c r="I143" s="346"/>
    </row>
    <row r="144" spans="9:9" s="147" customFormat="1">
      <c r="I144" s="346"/>
    </row>
    <row r="145" spans="9:9" s="147" customFormat="1">
      <c r="I145" s="346"/>
    </row>
    <row r="146" spans="9:9" s="147" customFormat="1">
      <c r="I146" s="346"/>
    </row>
    <row r="147" spans="9:9" s="147" customFormat="1">
      <c r="I147" s="346"/>
    </row>
    <row r="148" spans="9:9" s="147" customFormat="1">
      <c r="I148" s="346"/>
    </row>
    <row r="149" spans="9:9" s="147" customFormat="1">
      <c r="I149" s="346"/>
    </row>
    <row r="150" spans="9:9" s="147" customFormat="1">
      <c r="I150" s="346"/>
    </row>
    <row r="151" spans="9:9" s="147" customFormat="1">
      <c r="I151" s="346"/>
    </row>
    <row r="152" spans="9:9" s="147" customFormat="1">
      <c r="I152" s="346"/>
    </row>
    <row r="153" spans="9:9" s="147" customFormat="1">
      <c r="I153" s="346"/>
    </row>
    <row r="154" spans="9:9" s="147" customFormat="1">
      <c r="I154" s="346"/>
    </row>
    <row r="155" spans="9:9" s="147" customFormat="1">
      <c r="I155" s="346"/>
    </row>
    <row r="156" spans="9:9" s="147" customFormat="1">
      <c r="I156" s="346"/>
    </row>
    <row r="157" spans="9:9" s="147" customFormat="1">
      <c r="I157" s="346"/>
    </row>
    <row r="158" spans="9:9" s="147" customFormat="1">
      <c r="I158" s="346"/>
    </row>
    <row r="159" spans="9:9" s="147" customFormat="1">
      <c r="I159" s="346"/>
    </row>
    <row r="160" spans="9:9" s="147" customFormat="1">
      <c r="I160" s="346"/>
    </row>
    <row r="161" spans="9:9" s="147" customFormat="1">
      <c r="I161" s="346"/>
    </row>
    <row r="162" spans="9:9" s="147" customFormat="1">
      <c r="I162" s="346"/>
    </row>
    <row r="163" spans="9:9" s="147" customFormat="1">
      <c r="I163" s="346"/>
    </row>
    <row r="164" spans="9:9" s="147" customFormat="1">
      <c r="I164" s="346"/>
    </row>
    <row r="165" spans="9:9" s="147" customFormat="1">
      <c r="I165" s="346"/>
    </row>
    <row r="166" spans="9:9" s="147" customFormat="1">
      <c r="I166" s="346"/>
    </row>
    <row r="167" spans="9:9" s="147" customFormat="1">
      <c r="I167" s="346"/>
    </row>
    <row r="168" spans="9:9" s="147" customFormat="1">
      <c r="I168" s="346"/>
    </row>
    <row r="169" spans="9:9" s="147" customFormat="1">
      <c r="I169" s="346"/>
    </row>
    <row r="170" spans="9:9" s="147" customFormat="1">
      <c r="I170" s="346"/>
    </row>
    <row r="171" spans="9:9" s="147" customFormat="1">
      <c r="I171" s="346"/>
    </row>
    <row r="172" spans="9:9" s="147" customFormat="1">
      <c r="I172" s="346"/>
    </row>
    <row r="173" spans="9:9" s="147" customFormat="1">
      <c r="I173" s="346"/>
    </row>
    <row r="174" spans="9:9" s="147" customFormat="1">
      <c r="I174" s="346"/>
    </row>
    <row r="175" spans="9:9" s="147" customFormat="1">
      <c r="I175" s="346"/>
    </row>
    <row r="176" spans="9:9" s="147" customFormat="1">
      <c r="I176" s="346"/>
    </row>
    <row r="177" spans="9:9" s="147" customFormat="1">
      <c r="I177" s="346"/>
    </row>
    <row r="178" spans="9:9" s="147" customFormat="1">
      <c r="I178" s="346"/>
    </row>
    <row r="179" spans="9:9" s="147" customFormat="1">
      <c r="I179" s="346"/>
    </row>
    <row r="180" spans="9:9" s="147" customFormat="1">
      <c r="I180" s="346"/>
    </row>
    <row r="181" spans="9:9" s="147" customFormat="1">
      <c r="I181" s="346"/>
    </row>
    <row r="182" spans="9:9" s="147" customFormat="1">
      <c r="I182" s="346"/>
    </row>
    <row r="183" spans="9:9" s="147" customFormat="1">
      <c r="I183" s="346"/>
    </row>
    <row r="184" spans="9:9" s="147" customFormat="1">
      <c r="I184" s="346"/>
    </row>
    <row r="185" spans="9:9" s="147" customFormat="1">
      <c r="I185" s="346"/>
    </row>
    <row r="186" spans="9:9" s="147" customFormat="1">
      <c r="I186" s="346"/>
    </row>
    <row r="187" spans="9:9" s="147" customFormat="1">
      <c r="I187" s="346"/>
    </row>
    <row r="188" spans="9:9" s="147" customFormat="1">
      <c r="I188" s="346"/>
    </row>
    <row r="189" spans="9:9" s="147" customFormat="1">
      <c r="I189" s="346"/>
    </row>
    <row r="190" spans="9:9" s="147" customFormat="1">
      <c r="I190" s="346"/>
    </row>
    <row r="191" spans="9:9" s="147" customFormat="1">
      <c r="I191" s="346"/>
    </row>
    <row r="192" spans="9:9" s="147" customFormat="1">
      <c r="I192" s="346"/>
    </row>
    <row r="193" spans="9:9" s="147" customFormat="1">
      <c r="I193" s="346"/>
    </row>
    <row r="194" spans="9:9" s="147" customFormat="1">
      <c r="I194" s="346"/>
    </row>
    <row r="195" spans="9:9" s="147" customFormat="1">
      <c r="I195" s="346"/>
    </row>
    <row r="196" spans="9:9" s="147" customFormat="1">
      <c r="I196" s="346"/>
    </row>
    <row r="197" spans="9:9" s="147" customFormat="1">
      <c r="I197" s="346"/>
    </row>
    <row r="198" spans="9:9" s="147" customFormat="1">
      <c r="I198" s="346"/>
    </row>
    <row r="199" spans="9:9" s="147" customFormat="1">
      <c r="I199" s="346"/>
    </row>
    <row r="200" spans="9:9" s="147" customFormat="1">
      <c r="I200" s="346"/>
    </row>
    <row r="201" spans="9:9" s="147" customFormat="1">
      <c r="I201" s="346"/>
    </row>
    <row r="202" spans="9:9" s="147" customFormat="1">
      <c r="I202" s="346"/>
    </row>
    <row r="203" spans="9:9" s="147" customFormat="1">
      <c r="I203" s="346"/>
    </row>
    <row r="204" spans="9:9" s="147" customFormat="1">
      <c r="I204" s="346"/>
    </row>
    <row r="205" spans="9:9" s="147" customFormat="1">
      <c r="I205" s="346"/>
    </row>
    <row r="206" spans="9:9" s="147" customFormat="1">
      <c r="I206" s="346"/>
    </row>
    <row r="207" spans="9:9" s="147" customFormat="1">
      <c r="I207" s="346"/>
    </row>
    <row r="208" spans="9:9" s="147" customFormat="1">
      <c r="I208" s="346"/>
    </row>
    <row r="209" spans="9:9" s="147" customFormat="1">
      <c r="I209" s="346"/>
    </row>
    <row r="210" spans="9:9" s="147" customFormat="1">
      <c r="I210" s="346"/>
    </row>
    <row r="211" spans="9:9" s="147" customFormat="1">
      <c r="I211" s="346"/>
    </row>
    <row r="212" spans="9:9" s="147" customFormat="1">
      <c r="I212" s="346"/>
    </row>
    <row r="213" spans="9:9" s="147" customFormat="1">
      <c r="I213" s="346"/>
    </row>
    <row r="214" spans="9:9" s="147" customFormat="1">
      <c r="I214" s="346"/>
    </row>
    <row r="215" spans="9:9" s="147" customFormat="1">
      <c r="I215" s="346"/>
    </row>
    <row r="216" spans="9:9" s="147" customFormat="1">
      <c r="I216" s="346"/>
    </row>
    <row r="217" spans="9:9" s="147" customFormat="1">
      <c r="I217" s="346"/>
    </row>
    <row r="218" spans="9:9" s="147" customFormat="1">
      <c r="I218" s="346"/>
    </row>
    <row r="219" spans="9:9" s="147" customFormat="1">
      <c r="I219" s="346"/>
    </row>
    <row r="220" spans="9:9" s="147" customFormat="1">
      <c r="I220" s="346"/>
    </row>
    <row r="221" spans="9:9" s="147" customFormat="1">
      <c r="I221" s="346"/>
    </row>
    <row r="222" spans="9:9" s="147" customFormat="1">
      <c r="I222" s="346"/>
    </row>
    <row r="223" spans="9:9" s="147" customFormat="1">
      <c r="I223" s="346"/>
    </row>
    <row r="224" spans="9:9" s="147" customFormat="1">
      <c r="I224" s="346"/>
    </row>
    <row r="225" spans="9:9" s="147" customFormat="1">
      <c r="I225" s="346"/>
    </row>
    <row r="226" spans="9:9" s="147" customFormat="1">
      <c r="I226" s="346"/>
    </row>
    <row r="227" spans="9:9" s="147" customFormat="1">
      <c r="I227" s="346"/>
    </row>
    <row r="228" spans="9:9" s="147" customFormat="1">
      <c r="I228" s="346"/>
    </row>
    <row r="229" spans="9:9" s="147" customFormat="1">
      <c r="I229" s="346"/>
    </row>
    <row r="230" spans="9:9" s="147" customFormat="1">
      <c r="I230" s="346"/>
    </row>
    <row r="231" spans="9:9" s="147" customFormat="1">
      <c r="I231" s="346"/>
    </row>
    <row r="232" spans="9:9" s="147" customFormat="1">
      <c r="I232" s="346"/>
    </row>
    <row r="233" spans="9:9" s="147" customFormat="1">
      <c r="I233" s="346"/>
    </row>
    <row r="234" spans="9:9" s="147" customFormat="1">
      <c r="I234" s="346"/>
    </row>
    <row r="235" spans="9:9" s="147" customFormat="1">
      <c r="I235" s="346"/>
    </row>
    <row r="236" spans="9:9" s="147" customFormat="1">
      <c r="I236" s="346"/>
    </row>
    <row r="237" spans="9:9" s="147" customFormat="1">
      <c r="I237" s="346"/>
    </row>
    <row r="238" spans="9:9" s="147" customFormat="1">
      <c r="I238" s="346"/>
    </row>
    <row r="239" spans="9:9" s="147" customFormat="1">
      <c r="I239" s="346"/>
    </row>
    <row r="240" spans="9:9" s="147" customFormat="1">
      <c r="I240" s="346"/>
    </row>
    <row r="241" spans="9:9" s="147" customFormat="1">
      <c r="I241" s="346"/>
    </row>
    <row r="242" spans="9:9" s="147" customFormat="1">
      <c r="I242" s="346"/>
    </row>
    <row r="243" spans="9:9" s="147" customFormat="1">
      <c r="I243" s="346"/>
    </row>
    <row r="244" spans="9:9" s="147" customFormat="1">
      <c r="I244" s="346"/>
    </row>
    <row r="245" spans="9:9" s="147" customFormat="1">
      <c r="I245" s="346"/>
    </row>
    <row r="246" spans="9:9" s="147" customFormat="1">
      <c r="I246" s="346"/>
    </row>
    <row r="247" spans="9:9" s="147" customFormat="1">
      <c r="I247" s="346"/>
    </row>
    <row r="248" spans="9:9" s="147" customFormat="1">
      <c r="I248" s="346"/>
    </row>
    <row r="249" spans="9:9" s="147" customFormat="1">
      <c r="I249" s="346"/>
    </row>
    <row r="250" spans="9:9" s="147" customFormat="1">
      <c r="I250" s="346"/>
    </row>
    <row r="251" spans="9:9" s="147" customFormat="1">
      <c r="I251" s="346"/>
    </row>
    <row r="252" spans="9:9" s="147" customFormat="1">
      <c r="I252" s="346"/>
    </row>
    <row r="253" spans="9:9" s="147" customFormat="1">
      <c r="I253" s="346"/>
    </row>
    <row r="254" spans="9:9" s="147" customFormat="1">
      <c r="I254" s="346"/>
    </row>
    <row r="255" spans="9:9" s="147" customFormat="1">
      <c r="I255" s="346"/>
    </row>
    <row r="256" spans="9:9" s="147" customFormat="1">
      <c r="I256" s="346"/>
    </row>
    <row r="257" spans="9:9" s="147" customFormat="1">
      <c r="I257" s="346"/>
    </row>
    <row r="258" spans="9:9" s="147" customFormat="1">
      <c r="I258" s="346"/>
    </row>
    <row r="259" spans="9:9" s="147" customFormat="1">
      <c r="I259" s="346"/>
    </row>
    <row r="260" spans="9:9" s="147" customFormat="1">
      <c r="I260" s="346"/>
    </row>
    <row r="261" spans="9:9" s="147" customFormat="1">
      <c r="I261" s="346"/>
    </row>
    <row r="262" spans="9:9" s="147" customFormat="1">
      <c r="I262" s="346"/>
    </row>
    <row r="263" spans="9:9" s="147" customFormat="1">
      <c r="I263" s="346"/>
    </row>
    <row r="264" spans="9:9" s="147" customFormat="1">
      <c r="I264" s="346"/>
    </row>
    <row r="265" spans="9:9" s="147" customFormat="1">
      <c r="I265" s="346"/>
    </row>
    <row r="266" spans="9:9" s="147" customFormat="1">
      <c r="I266" s="346"/>
    </row>
    <row r="267" spans="9:9" s="147" customFormat="1">
      <c r="I267" s="346"/>
    </row>
    <row r="268" spans="9:9" s="147" customFormat="1">
      <c r="I268" s="346"/>
    </row>
    <row r="269" spans="9:9" s="147" customFormat="1">
      <c r="I269" s="346"/>
    </row>
    <row r="270" spans="9:9" s="147" customFormat="1">
      <c r="I270" s="346"/>
    </row>
    <row r="271" spans="9:9" s="147" customFormat="1">
      <c r="I271" s="346"/>
    </row>
    <row r="272" spans="9:9" s="147" customFormat="1">
      <c r="I272" s="346"/>
    </row>
    <row r="273" spans="9:9" s="147" customFormat="1">
      <c r="I273" s="346"/>
    </row>
    <row r="274" spans="9:9" s="147" customFormat="1">
      <c r="I274" s="346"/>
    </row>
    <row r="275" spans="9:9" s="147" customFormat="1">
      <c r="I275" s="346"/>
    </row>
    <row r="276" spans="9:9" s="147" customFormat="1">
      <c r="I276" s="346"/>
    </row>
    <row r="277" spans="9:9" s="147" customFormat="1">
      <c r="I277" s="346"/>
    </row>
    <row r="278" spans="9:9" s="147" customFormat="1">
      <c r="I278" s="346"/>
    </row>
    <row r="279" spans="9:9" s="147" customFormat="1">
      <c r="I279" s="346"/>
    </row>
    <row r="280" spans="9:9" s="147" customFormat="1">
      <c r="I280" s="346"/>
    </row>
    <row r="281" spans="9:9" s="147" customFormat="1">
      <c r="I281" s="346"/>
    </row>
    <row r="282" spans="9:9" s="147" customFormat="1">
      <c r="I282" s="346"/>
    </row>
    <row r="283" spans="9:9" s="147" customFormat="1">
      <c r="I283" s="346"/>
    </row>
    <row r="284" spans="9:9" s="147" customFormat="1">
      <c r="I284" s="346"/>
    </row>
    <row r="285" spans="9:9" s="147" customFormat="1">
      <c r="I285" s="346"/>
    </row>
    <row r="286" spans="9:9" s="147" customFormat="1">
      <c r="I286" s="346"/>
    </row>
    <row r="287" spans="9:9" s="147" customFormat="1">
      <c r="I287" s="346"/>
    </row>
    <row r="288" spans="9:9" s="147" customFormat="1">
      <c r="I288" s="346"/>
    </row>
    <row r="289" spans="9:9" s="147" customFormat="1">
      <c r="I289" s="346"/>
    </row>
    <row r="290" spans="9:9" s="147" customFormat="1">
      <c r="I290" s="346"/>
    </row>
    <row r="291" spans="9:9" s="147" customFormat="1">
      <c r="I291" s="346"/>
    </row>
    <row r="292" spans="9:9" s="147" customFormat="1">
      <c r="I292" s="346"/>
    </row>
    <row r="293" spans="9:9" s="147" customFormat="1">
      <c r="I293" s="346"/>
    </row>
    <row r="294" spans="9:9" s="147" customFormat="1">
      <c r="I294" s="346"/>
    </row>
    <row r="295" spans="9:9" s="147" customFormat="1">
      <c r="I295" s="346"/>
    </row>
    <row r="296" spans="9:9" s="147" customFormat="1">
      <c r="I296" s="346"/>
    </row>
    <row r="297" spans="9:9" s="147" customFormat="1">
      <c r="I297" s="346"/>
    </row>
    <row r="298" spans="9:9" s="147" customFormat="1">
      <c r="I298" s="346"/>
    </row>
    <row r="299" spans="9:9" s="147" customFormat="1">
      <c r="I299" s="346"/>
    </row>
    <row r="300" spans="9:9" s="147" customFormat="1">
      <c r="I300" s="346"/>
    </row>
    <row r="301" spans="9:9" s="147" customFormat="1">
      <c r="I301" s="346"/>
    </row>
    <row r="302" spans="9:9" s="147" customFormat="1">
      <c r="I302" s="346"/>
    </row>
    <row r="303" spans="9:9" s="147" customFormat="1">
      <c r="I303" s="346"/>
    </row>
    <row r="304" spans="9:9" s="147" customFormat="1">
      <c r="I304" s="346"/>
    </row>
    <row r="305" spans="9:9" s="147" customFormat="1">
      <c r="I305" s="346"/>
    </row>
    <row r="306" spans="9:9" s="147" customFormat="1">
      <c r="I306" s="346"/>
    </row>
    <row r="307" spans="9:9" s="147" customFormat="1">
      <c r="I307" s="346"/>
    </row>
    <row r="308" spans="9:9" s="147" customFormat="1">
      <c r="I308" s="346"/>
    </row>
    <row r="309" spans="9:9" s="147" customFormat="1">
      <c r="I309" s="346"/>
    </row>
    <row r="310" spans="9:9" s="147" customFormat="1">
      <c r="I310" s="346"/>
    </row>
    <row r="311" spans="9:9" s="147" customFormat="1">
      <c r="I311" s="346"/>
    </row>
    <row r="312" spans="9:9" s="147" customFormat="1">
      <c r="I312" s="346"/>
    </row>
    <row r="313" spans="9:9" s="147" customFormat="1">
      <c r="I313" s="346"/>
    </row>
    <row r="314" spans="9:9" s="147" customFormat="1">
      <c r="I314" s="346"/>
    </row>
    <row r="315" spans="9:9" s="147" customFormat="1">
      <c r="I315" s="346"/>
    </row>
    <row r="316" spans="9:9" s="147" customFormat="1">
      <c r="I316" s="346"/>
    </row>
    <row r="317" spans="9:9" s="147" customFormat="1">
      <c r="I317" s="346"/>
    </row>
    <row r="318" spans="9:9" s="147" customFormat="1">
      <c r="I318" s="346"/>
    </row>
    <row r="319" spans="9:9" s="147" customFormat="1">
      <c r="I319" s="346"/>
    </row>
    <row r="320" spans="9:9" s="147" customFormat="1">
      <c r="I320" s="346"/>
    </row>
    <row r="321" spans="9:9" s="147" customFormat="1">
      <c r="I321" s="346"/>
    </row>
    <row r="322" spans="9:9" s="147" customFormat="1">
      <c r="I322" s="346"/>
    </row>
    <row r="323" spans="9:9" s="147" customFormat="1">
      <c r="I323" s="346"/>
    </row>
    <row r="324" spans="9:9" s="147" customFormat="1">
      <c r="I324" s="346"/>
    </row>
    <row r="325" spans="9:9" s="147" customFormat="1">
      <c r="I325" s="346"/>
    </row>
    <row r="326" spans="9:9" s="147" customFormat="1">
      <c r="I326" s="346"/>
    </row>
    <row r="327" spans="9:9" s="147" customFormat="1">
      <c r="I327" s="346"/>
    </row>
    <row r="328" spans="9:9" s="147" customFormat="1">
      <c r="I328" s="346"/>
    </row>
    <row r="329" spans="9:9" s="147" customFormat="1">
      <c r="I329" s="346"/>
    </row>
    <row r="330" spans="9:9" s="147" customFormat="1">
      <c r="I330" s="346"/>
    </row>
    <row r="331" spans="9:9" s="147" customFormat="1">
      <c r="I331" s="346"/>
    </row>
    <row r="332" spans="9:9" s="147" customFormat="1">
      <c r="I332" s="346"/>
    </row>
    <row r="333" spans="9:9" s="147" customFormat="1">
      <c r="I333" s="346"/>
    </row>
    <row r="334" spans="9:9" s="147" customFormat="1">
      <c r="I334" s="346"/>
    </row>
    <row r="335" spans="9:9" s="147" customFormat="1">
      <c r="I335" s="346"/>
    </row>
    <row r="336" spans="9:9" s="147" customFormat="1">
      <c r="I336" s="346"/>
    </row>
    <row r="337" spans="9:9" s="147" customFormat="1">
      <c r="I337" s="346"/>
    </row>
    <row r="338" spans="9:9" s="147" customFormat="1">
      <c r="I338" s="346"/>
    </row>
    <row r="339" spans="9:9" s="147" customFormat="1">
      <c r="I339" s="346"/>
    </row>
    <row r="340" spans="9:9" s="147" customFormat="1">
      <c r="I340" s="346"/>
    </row>
    <row r="341" spans="9:9" s="147" customFormat="1">
      <c r="I341" s="346"/>
    </row>
    <row r="342" spans="9:9" s="147" customFormat="1">
      <c r="I342" s="346"/>
    </row>
    <row r="343" spans="9:9" s="147" customFormat="1">
      <c r="I343" s="346"/>
    </row>
    <row r="344" spans="9:9" s="147" customFormat="1">
      <c r="I344" s="346"/>
    </row>
    <row r="345" spans="9:9" s="147" customFormat="1">
      <c r="I345" s="346"/>
    </row>
    <row r="346" spans="9:9" s="147" customFormat="1">
      <c r="I346" s="346"/>
    </row>
    <row r="347" spans="9:9" s="147" customFormat="1">
      <c r="I347" s="346"/>
    </row>
    <row r="348" spans="9:9" s="147" customFormat="1">
      <c r="I348" s="346"/>
    </row>
    <row r="349" spans="9:9" s="147" customFormat="1">
      <c r="I349" s="346"/>
    </row>
    <row r="350" spans="9:9" s="147" customFormat="1">
      <c r="I350" s="346"/>
    </row>
    <row r="351" spans="9:9" s="147" customFormat="1">
      <c r="I351" s="346"/>
    </row>
    <row r="352" spans="9:9" s="147" customFormat="1">
      <c r="I352" s="346"/>
    </row>
    <row r="353" spans="9:9" s="147" customFormat="1">
      <c r="I353" s="346"/>
    </row>
    <row r="354" spans="9:9" s="147" customFormat="1">
      <c r="I354" s="346"/>
    </row>
    <row r="355" spans="9:9" s="147" customFormat="1">
      <c r="I355" s="346"/>
    </row>
    <row r="356" spans="9:9" s="147" customFormat="1">
      <c r="I356" s="346"/>
    </row>
    <row r="357" spans="9:9" s="147" customFormat="1">
      <c r="I357" s="346"/>
    </row>
    <row r="358" spans="9:9" s="147" customFormat="1">
      <c r="I358" s="346"/>
    </row>
    <row r="359" spans="9:9" s="147" customFormat="1">
      <c r="I359" s="346"/>
    </row>
    <row r="360" spans="9:9" s="147" customFormat="1">
      <c r="I360" s="346"/>
    </row>
    <row r="361" spans="9:9" s="147" customFormat="1">
      <c r="I361" s="346"/>
    </row>
    <row r="362" spans="9:9" s="147" customFormat="1">
      <c r="I362" s="346"/>
    </row>
    <row r="363" spans="9:9" s="147" customFormat="1">
      <c r="I363" s="346"/>
    </row>
    <row r="364" spans="9:9" s="147" customFormat="1">
      <c r="I364" s="346"/>
    </row>
    <row r="365" spans="9:9" s="147" customFormat="1">
      <c r="I365" s="346"/>
    </row>
    <row r="366" spans="9:9" s="147" customFormat="1">
      <c r="I366" s="346"/>
    </row>
    <row r="367" spans="9:9" s="147" customFormat="1">
      <c r="I367" s="346"/>
    </row>
    <row r="368" spans="9:9" s="147" customFormat="1">
      <c r="I368" s="346"/>
    </row>
    <row r="369" spans="9:9" s="147" customFormat="1">
      <c r="I369" s="346"/>
    </row>
    <row r="370" spans="9:9" s="147" customFormat="1">
      <c r="I370" s="346"/>
    </row>
    <row r="371" spans="9:9" s="147" customFormat="1">
      <c r="I371" s="346"/>
    </row>
    <row r="372" spans="9:9" s="147" customFormat="1">
      <c r="I372" s="346"/>
    </row>
    <row r="373" spans="9:9" s="147" customFormat="1">
      <c r="I373" s="346"/>
    </row>
    <row r="374" spans="9:9" s="147" customFormat="1">
      <c r="I374" s="346"/>
    </row>
    <row r="375" spans="9:9" s="147" customFormat="1">
      <c r="I375" s="346"/>
    </row>
    <row r="376" spans="9:9" s="147" customFormat="1">
      <c r="I376" s="346"/>
    </row>
    <row r="377" spans="9:9" s="147" customFormat="1">
      <c r="I377" s="346"/>
    </row>
    <row r="378" spans="9:9" s="147" customFormat="1">
      <c r="I378" s="346"/>
    </row>
    <row r="379" spans="9:9" s="147" customFormat="1">
      <c r="I379" s="346"/>
    </row>
    <row r="380" spans="9:9" s="147" customFormat="1">
      <c r="I380" s="346"/>
    </row>
    <row r="381" spans="9:9" s="147" customFormat="1">
      <c r="I381" s="346"/>
    </row>
    <row r="382" spans="9:9" s="147" customFormat="1">
      <c r="I382" s="346"/>
    </row>
    <row r="383" spans="9:9" s="147" customFormat="1">
      <c r="I383" s="346"/>
    </row>
    <row r="384" spans="9:9" s="147" customFormat="1">
      <c r="I384" s="346"/>
    </row>
    <row r="385" spans="9:9" s="147" customFormat="1">
      <c r="I385" s="346"/>
    </row>
    <row r="386" spans="9:9" s="147" customFormat="1">
      <c r="I386" s="346"/>
    </row>
    <row r="387" spans="9:9" s="147" customFormat="1">
      <c r="I387" s="346"/>
    </row>
    <row r="388" spans="9:9" s="147" customFormat="1">
      <c r="I388" s="346"/>
    </row>
    <row r="389" spans="9:9" s="147" customFormat="1">
      <c r="I389" s="346"/>
    </row>
    <row r="390" spans="9:9" s="147" customFormat="1">
      <c r="I390" s="346"/>
    </row>
    <row r="391" spans="9:9" s="147" customFormat="1">
      <c r="I391" s="346"/>
    </row>
    <row r="392" spans="9:9" s="147" customFormat="1">
      <c r="I392" s="346"/>
    </row>
    <row r="393" spans="9:9" s="147" customFormat="1">
      <c r="I393" s="346"/>
    </row>
    <row r="394" spans="9:9" s="147" customFormat="1">
      <c r="I394" s="346"/>
    </row>
    <row r="395" spans="9:9" s="147" customFormat="1">
      <c r="I395" s="346"/>
    </row>
    <row r="396" spans="9:9" s="147" customFormat="1">
      <c r="I396" s="346"/>
    </row>
    <row r="397" spans="9:9" s="147" customFormat="1">
      <c r="I397" s="346"/>
    </row>
    <row r="398" spans="9:9" s="147" customFormat="1">
      <c r="I398" s="346"/>
    </row>
    <row r="399" spans="9:9" s="147" customFormat="1">
      <c r="I399" s="346"/>
    </row>
    <row r="400" spans="9:9" s="147" customFormat="1">
      <c r="I400" s="346"/>
    </row>
    <row r="401" spans="9:9" s="147" customFormat="1">
      <c r="I401" s="346"/>
    </row>
    <row r="402" spans="9:9" s="147" customFormat="1">
      <c r="I402" s="346"/>
    </row>
    <row r="403" spans="9:9" s="147" customFormat="1">
      <c r="I403" s="346"/>
    </row>
    <row r="404" spans="9:9" s="147" customFormat="1">
      <c r="I404" s="346"/>
    </row>
    <row r="405" spans="9:9" s="147" customFormat="1">
      <c r="I405" s="346"/>
    </row>
    <row r="406" spans="9:9" s="147" customFormat="1">
      <c r="I406" s="346"/>
    </row>
    <row r="407" spans="9:9" s="147" customFormat="1">
      <c r="I407" s="346"/>
    </row>
    <row r="408" spans="9:9" s="147" customFormat="1">
      <c r="I408" s="346"/>
    </row>
    <row r="409" spans="9:9" s="147" customFormat="1">
      <c r="I409" s="346"/>
    </row>
    <row r="410" spans="9:9" s="147" customFormat="1">
      <c r="I410" s="346"/>
    </row>
    <row r="411" spans="9:9" s="147" customFormat="1">
      <c r="I411" s="346"/>
    </row>
    <row r="412" spans="9:9" s="147" customFormat="1">
      <c r="I412" s="346"/>
    </row>
    <row r="413" spans="9:9" s="147" customFormat="1">
      <c r="I413" s="346"/>
    </row>
    <row r="414" spans="9:9" s="147" customFormat="1">
      <c r="I414" s="346"/>
    </row>
    <row r="415" spans="9:9" s="147" customFormat="1">
      <c r="I415" s="346"/>
    </row>
    <row r="416" spans="9:9" s="147" customFormat="1">
      <c r="I416" s="346"/>
    </row>
    <row r="417" spans="9:9" s="147" customFormat="1">
      <c r="I417" s="346"/>
    </row>
    <row r="418" spans="9:9" s="147" customFormat="1">
      <c r="I418" s="346"/>
    </row>
    <row r="419" spans="9:9" s="147" customFormat="1">
      <c r="I419" s="346"/>
    </row>
    <row r="420" spans="9:9" s="147" customFormat="1">
      <c r="I420" s="346"/>
    </row>
    <row r="421" spans="9:9" s="147" customFormat="1">
      <c r="I421" s="346"/>
    </row>
    <row r="422" spans="9:9" s="147" customFormat="1">
      <c r="I422" s="346"/>
    </row>
    <row r="423" spans="9:9" s="147" customFormat="1">
      <c r="I423" s="346"/>
    </row>
    <row r="424" spans="9:9" s="147" customFormat="1">
      <c r="I424" s="346"/>
    </row>
    <row r="425" spans="9:9" s="147" customFormat="1">
      <c r="I425" s="346"/>
    </row>
    <row r="426" spans="9:9" s="147" customFormat="1">
      <c r="I426" s="346"/>
    </row>
    <row r="427" spans="9:9" s="147" customFormat="1">
      <c r="I427" s="346"/>
    </row>
    <row r="428" spans="9:9" s="147" customFormat="1">
      <c r="I428" s="346"/>
    </row>
    <row r="429" spans="9:9" s="147" customFormat="1">
      <c r="I429" s="346"/>
    </row>
    <row r="430" spans="9:9" s="147" customFormat="1">
      <c r="I430" s="346"/>
    </row>
    <row r="431" spans="9:9" s="147" customFormat="1">
      <c r="I431" s="346"/>
    </row>
    <row r="432" spans="9:9" s="147" customFormat="1">
      <c r="I432" s="346"/>
    </row>
    <row r="433" spans="9:9" s="147" customFormat="1">
      <c r="I433" s="346"/>
    </row>
    <row r="434" spans="9:9" s="147" customFormat="1">
      <c r="I434" s="346"/>
    </row>
    <row r="435" spans="9:9" s="147" customFormat="1">
      <c r="I435" s="346"/>
    </row>
    <row r="436" spans="9:9" s="147" customFormat="1">
      <c r="I436" s="346"/>
    </row>
  </sheetData>
  <sheetProtection algorithmName="SHA-512" hashValue="XEVC3oW1pMKOjZ3iyRXGpn1UYx1fHN6z4ReRukMwG4MVU9oOIrbKvpCxWh4zylJONGss9rXKV/N9Cqm6lOXDNg==" saltValue="AaIcSDAfbRZ9IlidRzVY6A==" spinCount="100000" sheet="1" objects="1" scenarios="1"/>
  <sortState xmlns:xlrd2="http://schemas.microsoft.com/office/spreadsheetml/2017/richdata2" ref="B22:I37">
    <sortCondition descending="1" ref="D22:D37"/>
  </sortState>
  <mergeCells count="22">
    <mergeCell ref="B39:G39"/>
    <mergeCell ref="B40:G40"/>
    <mergeCell ref="B38:G38"/>
    <mergeCell ref="B18:B19"/>
    <mergeCell ref="B14:C14"/>
    <mergeCell ref="D14:H14"/>
    <mergeCell ref="E18:F18"/>
    <mergeCell ref="G18:H18"/>
    <mergeCell ref="B2:H2"/>
    <mergeCell ref="B3:H5"/>
    <mergeCell ref="B7:H7"/>
    <mergeCell ref="B8:C9"/>
    <mergeCell ref="B10:C10"/>
    <mergeCell ref="D12:H12"/>
    <mergeCell ref="G8:H8"/>
    <mergeCell ref="E8:F8"/>
    <mergeCell ref="C18:C19"/>
    <mergeCell ref="B16:G16"/>
    <mergeCell ref="B11:H11"/>
    <mergeCell ref="B12:C12"/>
    <mergeCell ref="B13:C13"/>
    <mergeCell ref="D13:H13"/>
  </mergeCells>
  <conditionalFormatting sqref="B37:H37 G36:H36 B20:F36">
    <cfRule type="expression" dxfId="36" priority="13">
      <formula>$I20=1</formula>
    </cfRule>
  </conditionalFormatting>
  <conditionalFormatting sqref="D12">
    <cfRule type="expression" dxfId="35" priority="82">
      <formula>SUM($C$49:$C$50)=1</formula>
    </cfRule>
  </conditionalFormatting>
  <conditionalFormatting sqref="D13">
    <cfRule type="expression" dxfId="34" priority="83">
      <formula>SUM($D$49:$D$50)=1</formula>
    </cfRule>
  </conditionalFormatting>
  <conditionalFormatting sqref="D14">
    <cfRule type="expression" dxfId="33" priority="84">
      <formula>SUM($E$49:$E$50)=1</formula>
    </cfRule>
  </conditionalFormatting>
  <conditionalFormatting sqref="G20:H33">
    <cfRule type="expression" dxfId="32" priority="7">
      <formula>$I20=1</formula>
    </cfRule>
  </conditionalFormatting>
  <conditionalFormatting sqref="G34:H35">
    <cfRule type="expression" dxfId="31" priority="6">
      <formula>$I34=1</formula>
    </cfRule>
  </conditionalFormatting>
  <conditionalFormatting sqref="C20:C33">
    <cfRule type="expression" dxfId="30" priority="5">
      <formula>$I20=1</formula>
    </cfRule>
  </conditionalFormatting>
  <conditionalFormatting sqref="C34:C35">
    <cfRule type="expression" dxfId="29" priority="4">
      <formula>$I34=1</formula>
    </cfRule>
  </conditionalFormatting>
  <conditionalFormatting sqref="C34">
    <cfRule type="expression" dxfId="28" priority="3">
      <formula>$I34=1</formula>
    </cfRule>
  </conditionalFormatting>
  <conditionalFormatting sqref="C35">
    <cfRule type="expression" dxfId="27" priority="2">
      <formula>$I35=1</formula>
    </cfRule>
  </conditionalFormatting>
  <conditionalFormatting sqref="C36">
    <cfRule type="expression" dxfId="26" priority="1">
      <formula>$I36=1</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1D3CB-8789-4143-B5FD-F16D2BB0BFFF}">
  <sheetPr codeName="Sheet26">
    <tabColor theme="4" tint="-0.249977111117893"/>
  </sheetPr>
  <dimension ref="A1:AN572"/>
  <sheetViews>
    <sheetView topLeftCell="A31" zoomScale="70" zoomScaleNormal="70" workbookViewId="0">
      <pane ySplit="4080" topLeftCell="A50" activePane="bottomLeft"/>
      <selection pane="bottomLeft" activeCell="D68" sqref="D68"/>
      <selection activeCell="D33" sqref="D33"/>
    </sheetView>
  </sheetViews>
  <sheetFormatPr defaultColWidth="8.7109375" defaultRowHeight="14.45" outlineLevelRow="1"/>
  <cols>
    <col min="1" max="1" width="8.7109375" style="147"/>
    <col min="2" max="2" width="41.5703125" customWidth="1"/>
    <col min="3" max="3" width="30.140625" style="20" customWidth="1"/>
    <col min="4" max="4" width="22.140625" customWidth="1"/>
    <col min="5" max="5" width="18" customWidth="1"/>
    <col min="6" max="6" width="18.28515625" customWidth="1"/>
    <col min="7" max="7" width="14.85546875" customWidth="1"/>
    <col min="8" max="8" width="15.7109375" customWidth="1"/>
    <col min="9" max="9" width="35.85546875" customWidth="1"/>
    <col min="10" max="10" width="37.140625" customWidth="1"/>
    <col min="11" max="11" width="19.28515625" customWidth="1"/>
    <col min="12" max="12" width="19.5703125" customWidth="1"/>
    <col min="13" max="13" width="44.140625" customWidth="1"/>
    <col min="14" max="14" width="18.42578125" customWidth="1"/>
    <col min="15" max="15" width="16.140625" style="147" customWidth="1"/>
    <col min="16" max="16" width="12.42578125" style="147" customWidth="1"/>
    <col min="17" max="17" width="42.140625" style="335" customWidth="1"/>
    <col min="18" max="18" width="22.28515625" style="147" customWidth="1"/>
    <col min="19" max="19" width="19.85546875" style="147" customWidth="1"/>
    <col min="20" max="22" width="8.7109375" style="147"/>
    <col min="23" max="23" width="16" style="147" customWidth="1"/>
    <col min="24" max="40" width="8.7109375" style="147"/>
  </cols>
  <sheetData>
    <row r="1" spans="1:17" ht="26.1">
      <c r="A1" s="150" t="s">
        <v>675</v>
      </c>
      <c r="C1" s="314"/>
      <c r="D1" s="147"/>
      <c r="E1" s="147"/>
      <c r="F1" s="147"/>
      <c r="G1" s="147"/>
      <c r="H1" s="147"/>
      <c r="I1" s="147"/>
      <c r="J1" s="147"/>
      <c r="K1" s="766"/>
      <c r="L1" s="767"/>
      <c r="M1" s="766"/>
      <c r="N1" s="768"/>
      <c r="O1" s="768"/>
      <c r="P1" s="768"/>
      <c r="Q1" s="768"/>
    </row>
    <row r="2" spans="1:17">
      <c r="B2" s="438" t="s">
        <v>172</v>
      </c>
      <c r="C2" s="439" t="s">
        <v>676</v>
      </c>
      <c r="D2" s="440" t="s">
        <v>362</v>
      </c>
      <c r="E2" s="1792" t="s">
        <v>547</v>
      </c>
      <c r="F2" s="1793"/>
      <c r="G2" s="1793"/>
      <c r="H2" s="1794"/>
      <c r="I2" s="147"/>
      <c r="J2" s="147"/>
      <c r="K2" s="147"/>
      <c r="L2" s="147"/>
      <c r="M2" s="147"/>
      <c r="N2" s="147"/>
    </row>
    <row r="3" spans="1:17">
      <c r="B3" s="441" t="s">
        <v>677</v>
      </c>
      <c r="C3" s="317"/>
      <c r="D3" s="321" t="e">
        <f>VLOOKUP('User Inputs and Savings'!C18,Tables!$B$10:$C$13,2,FALSE)</f>
        <v>#N/A</v>
      </c>
      <c r="E3" s="1795"/>
      <c r="F3" s="1796"/>
      <c r="G3" s="1796"/>
      <c r="H3" s="1797"/>
      <c r="I3" s="147"/>
      <c r="J3" s="147"/>
      <c r="K3" s="147"/>
      <c r="L3" s="147"/>
      <c r="M3" s="147"/>
      <c r="N3" s="147"/>
    </row>
    <row r="4" spans="1:17">
      <c r="B4" s="441" t="s">
        <v>678</v>
      </c>
      <c r="C4" s="316" t="e">
        <f>IF($D$3=1,1,0)</f>
        <v>#N/A</v>
      </c>
      <c r="D4" s="321">
        <v>100</v>
      </c>
      <c r="E4" s="1795" t="s">
        <v>679</v>
      </c>
      <c r="F4" s="1796"/>
      <c r="G4" s="1796"/>
      <c r="H4" s="1797"/>
      <c r="I4" s="147"/>
      <c r="J4" s="147"/>
      <c r="K4" s="147"/>
      <c r="L4" s="147"/>
      <c r="M4" s="147"/>
      <c r="N4" s="147"/>
    </row>
    <row r="5" spans="1:17">
      <c r="B5" s="441" t="s">
        <v>680</v>
      </c>
      <c r="C5" s="316" t="e">
        <f>IF($D$3=2,1,0)</f>
        <v>#N/A</v>
      </c>
      <c r="D5" s="321">
        <f>Assumptions!D91</f>
        <v>91.451999999999998</v>
      </c>
      <c r="E5" s="619" t="s">
        <v>679</v>
      </c>
      <c r="F5" s="620"/>
      <c r="G5" s="620"/>
      <c r="H5" s="621"/>
      <c r="I5" s="147"/>
      <c r="J5" s="147"/>
      <c r="K5" s="147"/>
      <c r="L5" s="147"/>
      <c r="M5" s="147"/>
      <c r="N5" s="147"/>
    </row>
    <row r="6" spans="1:17">
      <c r="B6" s="441" t="s">
        <v>681</v>
      </c>
      <c r="C6" s="316" t="e">
        <f>IF($D$3=3,1,0)</f>
        <v>#N/A</v>
      </c>
      <c r="D6" s="321">
        <f>Assumptions!D90</f>
        <v>138.5</v>
      </c>
      <c r="E6" s="619" t="s">
        <v>679</v>
      </c>
      <c r="F6" s="620"/>
      <c r="G6" s="620"/>
      <c r="H6" s="621"/>
      <c r="I6" s="147"/>
      <c r="J6" s="147"/>
      <c r="K6" s="147"/>
      <c r="L6" s="147"/>
      <c r="M6" s="147"/>
      <c r="N6" s="147"/>
    </row>
    <row r="7" spans="1:17">
      <c r="B7" s="442" t="s">
        <v>682</v>
      </c>
      <c r="C7" s="443"/>
      <c r="D7" s="444">
        <f>Assumptions!D85/1000</f>
        <v>3.4119999999999999</v>
      </c>
      <c r="E7" s="622" t="s">
        <v>679</v>
      </c>
      <c r="F7" s="623"/>
      <c r="G7" s="623"/>
      <c r="H7" s="624"/>
      <c r="I7" s="147"/>
      <c r="J7" s="147"/>
      <c r="K7" s="147"/>
      <c r="L7" s="147"/>
      <c r="M7" s="147"/>
      <c r="N7" s="147"/>
    </row>
    <row r="8" spans="1:17" s="147" customFormat="1">
      <c r="C8" s="314"/>
      <c r="Q8" s="335"/>
    </row>
    <row r="9" spans="1:17" s="147" customFormat="1" ht="26.1">
      <c r="A9" s="150" t="s">
        <v>683</v>
      </c>
      <c r="C9" s="322"/>
      <c r="D9" s="148"/>
      <c r="Q9" s="335"/>
    </row>
    <row r="10" spans="1:17" s="147" customFormat="1">
      <c r="B10" s="493"/>
      <c r="C10" s="494"/>
      <c r="D10" s="494" t="s">
        <v>306</v>
      </c>
      <c r="E10" s="494" t="s">
        <v>307</v>
      </c>
      <c r="F10" s="494" t="s">
        <v>308</v>
      </c>
      <c r="G10" s="494" t="s">
        <v>309</v>
      </c>
      <c r="H10" s="494" t="s">
        <v>310</v>
      </c>
      <c r="I10" s="495" t="s">
        <v>684</v>
      </c>
      <c r="J10" s="1041" t="s">
        <v>685</v>
      </c>
      <c r="Q10" s="335"/>
    </row>
    <row r="11" spans="1:17" s="147" customFormat="1">
      <c r="B11" s="519" t="s">
        <v>423</v>
      </c>
      <c r="C11" s="509" t="s">
        <v>686</v>
      </c>
      <c r="D11" s="510">
        <f>IF('User Inputs and Savings'!C49&gt;0,1,0)</f>
        <v>0</v>
      </c>
      <c r="E11" s="510">
        <f>IF('User Inputs and Savings'!D49&gt;0,1,0)</f>
        <v>0</v>
      </c>
      <c r="F11" s="510">
        <f>IF('User Inputs and Savings'!E49&gt;0,1,0)</f>
        <v>0</v>
      </c>
      <c r="G11" s="510">
        <f>IF('User Inputs and Savings'!F49&gt;0,1,0)</f>
        <v>0</v>
      </c>
      <c r="H11" s="510">
        <f>IF('User Inputs and Savings'!G49&gt;0,1,0)</f>
        <v>0</v>
      </c>
      <c r="I11" s="511"/>
      <c r="J11" s="1803" t="s">
        <v>687</v>
      </c>
    </row>
    <row r="12" spans="1:17" s="147" customFormat="1">
      <c r="B12" s="810" t="s">
        <v>688</v>
      </c>
      <c r="C12" s="695" t="s">
        <v>677</v>
      </c>
      <c r="D12" s="502">
        <f>'User Inputs and Savings'!$C$18</f>
        <v>0</v>
      </c>
      <c r="E12" s="502">
        <f>'User Inputs and Savings'!$C$18</f>
        <v>0</v>
      </c>
      <c r="F12" s="502">
        <f>'User Inputs and Savings'!$C$18</f>
        <v>0</v>
      </c>
      <c r="G12" s="502">
        <f>'User Inputs and Savings'!$C$18</f>
        <v>0</v>
      </c>
      <c r="H12" s="502">
        <f>'User Inputs and Savings'!$C$18</f>
        <v>0</v>
      </c>
      <c r="I12" s="511"/>
      <c r="J12" s="1804"/>
    </row>
    <row r="13" spans="1:17" s="147" customFormat="1" ht="29.1">
      <c r="B13" s="496"/>
      <c r="C13" s="474" t="s">
        <v>268</v>
      </c>
      <c r="D13" s="809" t="str">
        <f>IF('User Inputs and Savings'!$J$30=4,'User Inputs and Savings'!C52,'User Inputs and Savings'!$C$30)</f>
        <v>Select Project Type</v>
      </c>
      <c r="E13" s="809" t="str">
        <f>IF('User Inputs and Savings'!$J$30=4,'User Inputs and Savings'!D52,'User Inputs and Savings'!$C$30)</f>
        <v>Select Project Type</v>
      </c>
      <c r="F13" s="809" t="str">
        <f>IF('User Inputs and Savings'!$J$30=4,'User Inputs and Savings'!E52,'User Inputs and Savings'!$C$30)</f>
        <v>Select Project Type</v>
      </c>
      <c r="G13" s="809" t="str">
        <f>IF('User Inputs and Savings'!$J$30=4,'User Inputs and Savings'!F52,'User Inputs and Savings'!$C$30)</f>
        <v>Select Project Type</v>
      </c>
      <c r="H13" s="809" t="str">
        <f>IF('User Inputs and Savings'!$J$30=4,'User Inputs and Savings'!G52,'User Inputs and Savings'!$C$30)</f>
        <v>Select Project Type</v>
      </c>
      <c r="I13" s="497"/>
      <c r="J13" s="1804"/>
    </row>
    <row r="14" spans="1:17" s="147" customFormat="1">
      <c r="B14" s="484"/>
      <c r="C14" s="474" t="s">
        <v>689</v>
      </c>
      <c r="D14" s="502" t="str">
        <f>'User Inputs and Savings'!C51</f>
        <v>5-6 Day with Unoccupied Nights</v>
      </c>
      <c r="E14" s="502" t="str">
        <f>'User Inputs and Savings'!D51</f>
        <v>5-6 Day with Unoccupied Nights</v>
      </c>
      <c r="F14" s="502" t="str">
        <f>'User Inputs and Savings'!E51</f>
        <v>5-6 Day with Unoccupied Nights</v>
      </c>
      <c r="G14" s="502" t="str">
        <f>'User Inputs and Savings'!F51</f>
        <v>5-6 Day with Unoccupied Nights</v>
      </c>
      <c r="H14" s="502" t="str">
        <f>'User Inputs and Savings'!G51</f>
        <v>5-6 Day with Unoccupied Nights</v>
      </c>
      <c r="I14" s="483"/>
      <c r="J14" s="1804"/>
    </row>
    <row r="15" spans="1:17" s="147" customFormat="1">
      <c r="B15" s="484"/>
      <c r="C15" s="490" t="s">
        <v>690</v>
      </c>
      <c r="D15" s="502" t="str">
        <f>'User Inputs and Savings'!C54</f>
        <v>N/A or Not Controlled in Project</v>
      </c>
      <c r="E15" s="502" t="str">
        <f>'User Inputs and Savings'!D54</f>
        <v>N/A or Not Controlled in Project</v>
      </c>
      <c r="F15" s="502" t="str">
        <f>'User Inputs and Savings'!E54</f>
        <v>N/A or Not Controlled in Project</v>
      </c>
      <c r="G15" s="502" t="str">
        <f>'User Inputs and Savings'!F54</f>
        <v>N/A or Not Controlled in Project</v>
      </c>
      <c r="H15" s="502" t="str">
        <f>'User Inputs and Savings'!G54</f>
        <v>N/A or Not Controlled in Project</v>
      </c>
      <c r="I15" s="498"/>
      <c r="J15" s="1804"/>
    </row>
    <row r="16" spans="1:17" s="147" customFormat="1">
      <c r="B16" s="484"/>
      <c r="C16" s="490" t="s">
        <v>198</v>
      </c>
      <c r="D16" s="502" t="str">
        <f>'User Inputs and Savings'!C57</f>
        <v>N/A or Not Controlled in Project</v>
      </c>
      <c r="E16" s="502" t="str">
        <f>'User Inputs and Savings'!D57</f>
        <v>N/A or Not Controlled in Project</v>
      </c>
      <c r="F16" s="502" t="str">
        <f>'User Inputs and Savings'!E57</f>
        <v>N/A or Not Controlled in Project</v>
      </c>
      <c r="G16" s="502" t="str">
        <f>'User Inputs and Savings'!F57</f>
        <v>N/A or Not Controlled in Project</v>
      </c>
      <c r="H16" s="502" t="str">
        <f>'User Inputs and Savings'!G57</f>
        <v>N/A or Not Controlled in Project</v>
      </c>
      <c r="I16" s="498"/>
      <c r="J16" s="1804"/>
    </row>
    <row r="17" spans="2:17" s="147" customFormat="1">
      <c r="B17" s="484"/>
      <c r="C17" s="490" t="s">
        <v>691</v>
      </c>
      <c r="D17" s="502" t="str">
        <f>'User Inputs and Savings'!C55</f>
        <v>N/A or Not Controlled in Project</v>
      </c>
      <c r="E17" s="502" t="str">
        <f>'User Inputs and Savings'!D55</f>
        <v>N/A or Not Controlled in Project</v>
      </c>
      <c r="F17" s="502" t="str">
        <f>'User Inputs and Savings'!E55</f>
        <v>N/A or Not Controlled in Project</v>
      </c>
      <c r="G17" s="502" t="str">
        <f>'User Inputs and Savings'!F55</f>
        <v>N/A or Not Controlled in Project</v>
      </c>
      <c r="H17" s="502" t="str">
        <f>'User Inputs and Savings'!G55</f>
        <v>N/A or Not Controlled in Project</v>
      </c>
      <c r="I17" s="498"/>
      <c r="J17" s="1804"/>
    </row>
    <row r="18" spans="2:17" s="147" customFormat="1">
      <c r="B18" s="484"/>
      <c r="C18" s="490" t="s">
        <v>692</v>
      </c>
      <c r="D18" s="502" t="str">
        <f>'User Inputs and Savings'!C56</f>
        <v>N/A or Not Controlled in Project</v>
      </c>
      <c r="E18" s="502" t="str">
        <f>'User Inputs and Savings'!D56</f>
        <v>N/A or Not Controlled in Project</v>
      </c>
      <c r="F18" s="502" t="str">
        <f>'User Inputs and Savings'!E56</f>
        <v>N/A or Not Controlled in Project</v>
      </c>
      <c r="G18" s="502" t="str">
        <f>'User Inputs and Savings'!F56</f>
        <v>N/A or Not Controlled in Project</v>
      </c>
      <c r="H18" s="502" t="str">
        <f>'User Inputs and Savings'!G56</f>
        <v>N/A or Not Controlled in Project</v>
      </c>
      <c r="I18" s="498"/>
      <c r="J18" s="1804"/>
    </row>
    <row r="19" spans="2:17" s="147" customFormat="1">
      <c r="B19" s="485"/>
      <c r="C19" s="492" t="s">
        <v>693</v>
      </c>
      <c r="D19" s="503" t="str">
        <f>'User Inputs and Savings'!C58</f>
        <v>N/A or Not Controlled in Project</v>
      </c>
      <c r="E19" s="503" t="str">
        <f>'User Inputs and Savings'!D58</f>
        <v>N/A or Not Controlled in Project</v>
      </c>
      <c r="F19" s="503" t="str">
        <f>'User Inputs and Savings'!E58</f>
        <v>N/A or Not Controlled in Project</v>
      </c>
      <c r="G19" s="503" t="str">
        <f>'User Inputs and Savings'!F58</f>
        <v>N/A or Not Controlled in Project</v>
      </c>
      <c r="H19" s="503" t="str">
        <f>'User Inputs and Savings'!G58</f>
        <v>N/A or Not Controlled in Project</v>
      </c>
      <c r="I19" s="499"/>
      <c r="J19" s="1805"/>
    </row>
    <row r="20" spans="2:17" s="147" customFormat="1">
      <c r="B20" s="496" t="s">
        <v>694</v>
      </c>
      <c r="C20" s="509" t="s">
        <v>677</v>
      </c>
      <c r="D20" s="510" t="e">
        <f>VLOOKUP(D12,Tables!$B$10:$C$13,2,FALSE)</f>
        <v>#N/A</v>
      </c>
      <c r="E20" s="510" t="e">
        <f>VLOOKUP(E12,Tables!$B$10:$C$13,2,FALSE)</f>
        <v>#N/A</v>
      </c>
      <c r="F20" s="510" t="e">
        <f>VLOOKUP(F12,Tables!$B$10:$C$13,2,FALSE)</f>
        <v>#N/A</v>
      </c>
      <c r="G20" s="510" t="e">
        <f>VLOOKUP(G12,Tables!$B$10:$C$13,2,FALSE)</f>
        <v>#N/A</v>
      </c>
      <c r="H20" s="510" t="e">
        <f>VLOOKUP(H12,Tables!$B$10:$C$13,2,FALSE)</f>
        <v>#N/A</v>
      </c>
      <c r="I20" s="500"/>
      <c r="J20" s="1803"/>
      <c r="L20" s="322"/>
      <c r="M20" s="322"/>
      <c r="N20" s="322"/>
      <c r="O20" s="322"/>
      <c r="Q20" s="335"/>
    </row>
    <row r="21" spans="2:17" s="147" customFormat="1">
      <c r="B21" s="496"/>
      <c r="C21" s="474" t="s">
        <v>268</v>
      </c>
      <c r="D21" s="502" t="e">
        <f>VLOOKUP(D13,'Equipment and SOO'!$B$80:$C$82,2,FALSE)</f>
        <v>#N/A</v>
      </c>
      <c r="E21" s="502" t="e">
        <f>VLOOKUP(E13,'Equipment and SOO'!$B$80:$C$82,2,FALSE)</f>
        <v>#N/A</v>
      </c>
      <c r="F21" s="502" t="e">
        <f>VLOOKUP(F13,'Equipment and SOO'!$B$80:$C$82,2,FALSE)</f>
        <v>#N/A</v>
      </c>
      <c r="G21" s="502" t="e">
        <f>VLOOKUP(G13,'Equipment and SOO'!$B$80:$C$82,2,FALSE)</f>
        <v>#N/A</v>
      </c>
      <c r="H21" s="502" t="e">
        <f>VLOOKUP(H13,'Equipment and SOO'!$B$80:$C$82,2,FALSE)</f>
        <v>#N/A</v>
      </c>
      <c r="I21" s="500"/>
      <c r="J21" s="1804"/>
      <c r="Q21" s="335"/>
    </row>
    <row r="22" spans="2:17" s="147" customFormat="1">
      <c r="B22" s="496"/>
      <c r="C22" s="474" t="s">
        <v>695</v>
      </c>
      <c r="D22" s="502" t="e">
        <f>IF(D53&lt;&gt;0,1,0)</f>
        <v>#DIV/0!</v>
      </c>
      <c r="E22" s="502" t="e">
        <f t="shared" ref="E22:H22" si="0">IF(E53&lt;&gt;0,1,0)</f>
        <v>#DIV/0!</v>
      </c>
      <c r="F22" s="502" t="e">
        <f t="shared" si="0"/>
        <v>#DIV/0!</v>
      </c>
      <c r="G22" s="502" t="e">
        <f t="shared" si="0"/>
        <v>#DIV/0!</v>
      </c>
      <c r="H22" s="502" t="e">
        <f t="shared" si="0"/>
        <v>#DIV/0!</v>
      </c>
      <c r="I22" s="500" t="s">
        <v>696</v>
      </c>
      <c r="J22" s="1804"/>
      <c r="Q22" s="335"/>
    </row>
    <row r="23" spans="2:17" s="147" customFormat="1">
      <c r="B23" s="484"/>
      <c r="C23" s="490" t="s">
        <v>689</v>
      </c>
      <c r="D23" s="502" t="str">
        <f>VLOOKUP(D14,Tables!$B$4:$C$6,2,FALSE)</f>
        <v>5day</v>
      </c>
      <c r="E23" s="502" t="str">
        <f>VLOOKUP(E14,Tables!$B$4:$C$6,2,FALSE)</f>
        <v>5day</v>
      </c>
      <c r="F23" s="502" t="str">
        <f>VLOOKUP(F14,Tables!$B$4:$C$6,2,FALSE)</f>
        <v>5day</v>
      </c>
      <c r="G23" s="502" t="str">
        <f>VLOOKUP(G14,Tables!$B$4:$C$6,2,FALSE)</f>
        <v>5day</v>
      </c>
      <c r="H23" s="502" t="str">
        <f>VLOOKUP(H14,Tables!$B$4:$C$6,2,FALSE)</f>
        <v>5day</v>
      </c>
      <c r="I23" s="498"/>
      <c r="J23" s="1804"/>
      <c r="Q23" s="335"/>
    </row>
    <row r="24" spans="2:17" s="147" customFormat="1">
      <c r="B24" s="484"/>
      <c r="C24" s="490" t="s">
        <v>690</v>
      </c>
      <c r="D24" s="502" t="str">
        <f>VLOOKUP(D15,'Equipment and SOO'!$C$18:$E$23,3,FALSE)</f>
        <v>ah0</v>
      </c>
      <c r="E24" s="502" t="str">
        <f>VLOOKUP(E15,'Equipment and SOO'!$C$18:$E$23,3,FALSE)</f>
        <v>ah0</v>
      </c>
      <c r="F24" s="502" t="str">
        <f>VLOOKUP(F15,'Equipment and SOO'!$C$18:$E$23,3,FALSE)</f>
        <v>ah0</v>
      </c>
      <c r="G24" s="502" t="str">
        <f>VLOOKUP(G15,'Equipment and SOO'!$C$18:$E$23,3,FALSE)</f>
        <v>ah0</v>
      </c>
      <c r="H24" s="502" t="str">
        <f>VLOOKUP(H15,'Equipment and SOO'!$C$18:$E$23,3,FALSE)</f>
        <v>ah0</v>
      </c>
      <c r="I24" s="498"/>
      <c r="J24" s="1804"/>
      <c r="Q24" s="335"/>
    </row>
    <row r="25" spans="2:17" s="147" customFormat="1">
      <c r="B25" s="484"/>
      <c r="C25" s="490" t="s">
        <v>697</v>
      </c>
      <c r="D25" s="502" t="str">
        <f>VLOOKUP(D16,'Equipment and SOO'!$C$31:$E$41,3,FALSE)</f>
        <v>tu0</v>
      </c>
      <c r="E25" s="502" t="str">
        <f>VLOOKUP(E16,'Equipment and SOO'!$C$31:$E$41,3,FALSE)</f>
        <v>tu0</v>
      </c>
      <c r="F25" s="502" t="str">
        <f>VLOOKUP(F16,'Equipment and SOO'!$C$31:$E$41,3,FALSE)</f>
        <v>tu0</v>
      </c>
      <c r="G25" s="502" t="str">
        <f>VLOOKUP(G16,'Equipment and SOO'!$C$31:$E$41,3,FALSE)</f>
        <v>tu0</v>
      </c>
      <c r="H25" s="502" t="str">
        <f>VLOOKUP(H16,'Equipment and SOO'!$C$31:$E$41,3,FALSE)</f>
        <v>tu0</v>
      </c>
      <c r="I25" s="498"/>
      <c r="J25" s="1804"/>
      <c r="Q25" s="335"/>
    </row>
    <row r="26" spans="2:17" s="147" customFormat="1">
      <c r="B26" s="484"/>
      <c r="C26" s="490" t="s">
        <v>691</v>
      </c>
      <c r="D26" s="502" t="str">
        <f>VLOOKUP(D17,'Equipment and SOO'!$C$7:$E$14,3,FALSE)</f>
        <v>ph0</v>
      </c>
      <c r="E26" s="502" t="str">
        <f>VLOOKUP(E17,'Equipment and SOO'!$C$7:$E$14,3,FALSE)</f>
        <v>ph0</v>
      </c>
      <c r="F26" s="502" t="str">
        <f>VLOOKUP(F17,'Equipment and SOO'!$C$7:$E$14,3,FALSE)</f>
        <v>ph0</v>
      </c>
      <c r="G26" s="502" t="str">
        <f>VLOOKUP(G17,'Equipment and SOO'!$C$7:$E$14,3,FALSE)</f>
        <v>ph0</v>
      </c>
      <c r="H26" s="502" t="str">
        <f>VLOOKUP(H17,'Equipment and SOO'!$C$7:$E$14,3,FALSE)</f>
        <v>ph0</v>
      </c>
      <c r="I26" s="498"/>
      <c r="J26" s="1804"/>
      <c r="Q26" s="335"/>
    </row>
    <row r="27" spans="2:17" s="147" customFormat="1">
      <c r="B27" s="484"/>
      <c r="C27" s="490" t="s">
        <v>692</v>
      </c>
      <c r="D27" s="502" t="str">
        <f>VLOOKUP(D18,'Equipment and SOO'!$C$15:$E$17,3,FALSE)</f>
        <v>cc0</v>
      </c>
      <c r="E27" s="502" t="str">
        <f>VLOOKUP(E18,'Equipment and SOO'!$C$15:$E$17,3,FALSE)</f>
        <v>cc0</v>
      </c>
      <c r="F27" s="502" t="str">
        <f>VLOOKUP(F18,'Equipment and SOO'!$C$15:$E$17,3,FALSE)</f>
        <v>cc0</v>
      </c>
      <c r="G27" s="502" t="str">
        <f>VLOOKUP(G18,'Equipment and SOO'!$C$15:$E$17,3,FALSE)</f>
        <v>cc0</v>
      </c>
      <c r="H27" s="502" t="str">
        <f>VLOOKUP(H18,'Equipment and SOO'!$C$15:$E$17,3,FALSE)</f>
        <v>cc0</v>
      </c>
      <c r="I27" s="498"/>
      <c r="J27" s="1804"/>
      <c r="Q27" s="335"/>
    </row>
    <row r="28" spans="2:17" s="147" customFormat="1">
      <c r="B28" s="484"/>
      <c r="C28" s="1042" t="s">
        <v>698</v>
      </c>
      <c r="D28" s="1043" t="str">
        <f>D27&amp;D24</f>
        <v>cc0ah0</v>
      </c>
      <c r="E28" s="1043" t="str">
        <f t="shared" ref="E28:H28" si="1">E27&amp;E24</f>
        <v>cc0ah0</v>
      </c>
      <c r="F28" s="1043" t="str">
        <f t="shared" si="1"/>
        <v>cc0ah0</v>
      </c>
      <c r="G28" s="1043" t="str">
        <f t="shared" si="1"/>
        <v>cc0ah0</v>
      </c>
      <c r="H28" s="1043" t="str">
        <f t="shared" si="1"/>
        <v>cc0ah0</v>
      </c>
      <c r="I28" s="1044" t="s">
        <v>699</v>
      </c>
      <c r="J28" s="1804"/>
      <c r="Q28" s="335"/>
    </row>
    <row r="29" spans="2:17" s="147" customFormat="1">
      <c r="B29" s="1037"/>
      <c r="C29" s="1038" t="s">
        <v>700</v>
      </c>
      <c r="D29" s="502" t="str">
        <f>IF(D26="ph7","bh_HP","none")</f>
        <v>none</v>
      </c>
      <c r="E29" s="502" t="str">
        <f t="shared" ref="E29:H29" si="2">IF(E26="ph7","bh_HP","none")</f>
        <v>none</v>
      </c>
      <c r="F29" s="502" t="str">
        <f t="shared" si="2"/>
        <v>none</v>
      </c>
      <c r="G29" s="502" t="str">
        <f t="shared" si="2"/>
        <v>none</v>
      </c>
      <c r="H29" s="502" t="str">
        <f t="shared" si="2"/>
        <v>none</v>
      </c>
      <c r="I29" s="498" t="s">
        <v>701</v>
      </c>
      <c r="J29" s="1804"/>
      <c r="Q29" s="335"/>
    </row>
    <row r="30" spans="2:17" s="147" customFormat="1">
      <c r="B30" s="485"/>
      <c r="C30" s="492" t="s">
        <v>693</v>
      </c>
      <c r="D30" s="503" t="str">
        <f>IF(D26&lt;&gt;"ph7","bh0",VLOOKUP(D19,'Equipment and SOO'!$C$24:$E$30,3,FALSE))</f>
        <v>bh0</v>
      </c>
      <c r="E30" s="503" t="str">
        <f>IF(E26&lt;&gt;"ph7","bh0",VLOOKUP(E19,'Equipment and SOO'!$C$24:$E$30,3,FALSE))</f>
        <v>bh0</v>
      </c>
      <c r="F30" s="503" t="str">
        <f>IF(F26&lt;&gt;"ph7","bh0",VLOOKUP(F19,'Equipment and SOO'!$C$24:$E$30,3,FALSE))</f>
        <v>bh0</v>
      </c>
      <c r="G30" s="503" t="str">
        <f>IF(G26&lt;&gt;"ph7","bh0",VLOOKUP(G19,'Equipment and SOO'!$C$24:$E$30,3,FALSE))</f>
        <v>bh0</v>
      </c>
      <c r="H30" s="503" t="str">
        <f>IF(H26&lt;&gt;"ph7","bh0",VLOOKUP(H19,'Equipment and SOO'!$C$24:$E$30,3,FALSE))</f>
        <v>bh0</v>
      </c>
      <c r="I30" s="499"/>
      <c r="J30" s="1805"/>
      <c r="Q30" s="335"/>
    </row>
    <row r="31" spans="2:17" s="147" customFormat="1" outlineLevel="1">
      <c r="B31" s="496" t="s">
        <v>702</v>
      </c>
      <c r="C31" s="491" t="s">
        <v>703</v>
      </c>
      <c r="D31" s="501">
        <f>IF(D23=0,0,1)</f>
        <v>1</v>
      </c>
      <c r="E31" s="501">
        <f t="shared" ref="E31:H31" si="3">IF(E23=0,0,1)</f>
        <v>1</v>
      </c>
      <c r="F31" s="501">
        <f t="shared" si="3"/>
        <v>1</v>
      </c>
      <c r="G31" s="501">
        <f t="shared" si="3"/>
        <v>1</v>
      </c>
      <c r="H31" s="501">
        <f t="shared" si="3"/>
        <v>1</v>
      </c>
      <c r="I31" s="500" t="s">
        <v>704</v>
      </c>
      <c r="J31" s="1803" t="s">
        <v>705</v>
      </c>
      <c r="L31" s="147">
        <f>VLOOKUP(D$26,'Equipment and SOO'!$E$6:$Y$30,MATCH($C40,'Equipment and SOO'!$E$6:$Y$6,FALSE),FALSE)</f>
        <v>0</v>
      </c>
      <c r="Q31" s="335"/>
    </row>
    <row r="32" spans="2:17" s="147" customFormat="1" outlineLevel="1">
      <c r="B32" s="484" t="s">
        <v>706</v>
      </c>
      <c r="C32" s="490" t="s">
        <v>707</v>
      </c>
      <c r="D32" s="502">
        <f>IF(AND(D26="ph7",D23="5day"),0,1)</f>
        <v>1</v>
      </c>
      <c r="E32" s="502">
        <f t="shared" ref="E32:H32" si="4">IF(AND(E26="ph7",E23="5day"),0,1)</f>
        <v>1</v>
      </c>
      <c r="F32" s="502">
        <f t="shared" si="4"/>
        <v>1</v>
      </c>
      <c r="G32" s="502">
        <f t="shared" si="4"/>
        <v>1</v>
      </c>
      <c r="H32" s="502">
        <f t="shared" si="4"/>
        <v>1</v>
      </c>
      <c r="I32" s="498" t="s">
        <v>708</v>
      </c>
      <c r="J32" s="1804"/>
      <c r="Q32" s="335"/>
    </row>
    <row r="33" spans="1:19" s="147" customFormat="1" outlineLevel="1">
      <c r="B33" s="484"/>
      <c r="C33" s="1038" t="s">
        <v>709</v>
      </c>
      <c r="D33" s="1063">
        <f>IF(D24="ah0",0,1)</f>
        <v>0</v>
      </c>
      <c r="E33" s="1063">
        <f t="shared" ref="E33:H33" si="5">IF(E24="ah0",0,1)</f>
        <v>0</v>
      </c>
      <c r="F33" s="1063">
        <f t="shared" si="5"/>
        <v>0</v>
      </c>
      <c r="G33" s="1063">
        <f t="shared" si="5"/>
        <v>0</v>
      </c>
      <c r="H33" s="1063">
        <f t="shared" si="5"/>
        <v>0</v>
      </c>
      <c r="I33" s="1064" t="s">
        <v>710</v>
      </c>
      <c r="J33" s="1804"/>
      <c r="Q33" s="335"/>
    </row>
    <row r="34" spans="1:19" s="147" customFormat="1" outlineLevel="1">
      <c r="B34" s="484"/>
      <c r="C34" s="492" t="s">
        <v>711</v>
      </c>
      <c r="D34" s="503">
        <f>IF(OR(D30="bh2",D30="bh3"),0,1)</f>
        <v>1</v>
      </c>
      <c r="E34" s="503">
        <f t="shared" ref="E34:H34" si="6">IF(OR(E30="bh2",E30="bh3"),0,1)</f>
        <v>1</v>
      </c>
      <c r="F34" s="503">
        <f t="shared" si="6"/>
        <v>1</v>
      </c>
      <c r="G34" s="503">
        <f t="shared" si="6"/>
        <v>1</v>
      </c>
      <c r="H34" s="503">
        <f t="shared" si="6"/>
        <v>1</v>
      </c>
      <c r="I34" s="499" t="s">
        <v>712</v>
      </c>
      <c r="J34" s="1805"/>
      <c r="Q34" s="335"/>
    </row>
    <row r="35" spans="1:19" s="147" customFormat="1" outlineLevel="1">
      <c r="B35" s="484" t="s">
        <v>713</v>
      </c>
      <c r="C35" s="491" t="s">
        <v>342</v>
      </c>
      <c r="D35" s="1046">
        <f>IF(SUM(VLOOKUP(D$26,'Equipment and SOO'!$E$6:$Y$30,MATCH($C35,'Equipment and SOO'!$E$6:$Y$6,FALSE),FALSE),VLOOKUP(D$27,'Equipment and SOO'!$E$6:$Y$30,MATCH($C35,'Equipment and SOO'!$E$6:$Y$6,FALSE),FALSE),VLOOKUP(D$24,'Equipment and SOO'!$E$6:$Y$30,MATCH($C35,'Equipment and SOO'!$E$6:$Y$6,FALSE),FALSE),VLOOKUP(D$30,'Equipment and SOO'!$E$6:$Y$30,MATCH($C35,'Equipment and SOO'!$E$6:$Y$6,FALSE),FALSE))&gt;0,1,0)*D$31</f>
        <v>0</v>
      </c>
      <c r="E35" s="1046">
        <f>IF(SUM(VLOOKUP(E$26,'Equipment and SOO'!$E$6:$Y$30,MATCH($C35,'Equipment and SOO'!$E$6:$Y$6,FALSE),FALSE),VLOOKUP(E$27,'Equipment and SOO'!$E$6:$Y$30,MATCH($C35,'Equipment and SOO'!$E$6:$Y$6,FALSE),FALSE),VLOOKUP(E$24,'Equipment and SOO'!$E$6:$Y$30,MATCH($C35,'Equipment and SOO'!$E$6:$Y$6,FALSE),FALSE),VLOOKUP(E$30,'Equipment and SOO'!$E$6:$Y$30,MATCH($C35,'Equipment and SOO'!$E$6:$Y$6,FALSE),FALSE))&gt;0,1,0)*E$31</f>
        <v>0</v>
      </c>
      <c r="F35" s="1046">
        <f>IF(SUM(VLOOKUP(F$26,'Equipment and SOO'!$E$6:$Y$30,MATCH($C35,'Equipment and SOO'!$E$6:$Y$6,FALSE),FALSE),VLOOKUP(F$27,'Equipment and SOO'!$E$6:$Y$30,MATCH($C35,'Equipment and SOO'!$E$6:$Y$6,FALSE),FALSE),VLOOKUP(F$24,'Equipment and SOO'!$E$6:$Y$30,MATCH($C35,'Equipment and SOO'!$E$6:$Y$6,FALSE),FALSE),VLOOKUP(F$30,'Equipment and SOO'!$E$6:$Y$30,MATCH($C35,'Equipment and SOO'!$E$6:$Y$6,FALSE),FALSE))&gt;0,1,0)*F$31</f>
        <v>0</v>
      </c>
      <c r="G35" s="1046">
        <f>IF(SUM(VLOOKUP(G$26,'Equipment and SOO'!$E$6:$Y$30,MATCH($C35,'Equipment and SOO'!$E$6:$Y$6,FALSE),FALSE),VLOOKUP(G$27,'Equipment and SOO'!$E$6:$Y$30,MATCH($C35,'Equipment and SOO'!$E$6:$Y$6,FALSE),FALSE),VLOOKUP(G$24,'Equipment and SOO'!$E$6:$Y$30,MATCH($C35,'Equipment and SOO'!$E$6:$Y$6,FALSE),FALSE),VLOOKUP(G$30,'Equipment and SOO'!$E$6:$Y$30,MATCH($C35,'Equipment and SOO'!$E$6:$Y$6,FALSE),FALSE))&gt;0,1,0)*G$31</f>
        <v>0</v>
      </c>
      <c r="H35" s="1046">
        <f>IF(SUM(VLOOKUP(H$26,'Equipment and SOO'!$E$6:$Y$30,MATCH($C35,'Equipment and SOO'!$E$6:$Y$6,FALSE),FALSE),VLOOKUP(H$27,'Equipment and SOO'!$E$6:$Y$30,MATCH($C35,'Equipment and SOO'!$E$6:$Y$6,FALSE),FALSE),VLOOKUP(H$24,'Equipment and SOO'!$E$6:$Y$30,MATCH($C35,'Equipment and SOO'!$E$6:$Y$6,FALSE),FALSE),VLOOKUP(H$30,'Equipment and SOO'!$E$6:$Y$30,MATCH($C35,'Equipment and SOO'!$E$6:$Y$6,FALSE),FALSE))&gt;0,1,0)*H$31</f>
        <v>0</v>
      </c>
      <c r="I35" s="500" t="s">
        <v>714</v>
      </c>
      <c r="J35" s="1803" t="s">
        <v>715</v>
      </c>
      <c r="Q35" s="335"/>
    </row>
    <row r="36" spans="1:19" s="147" customFormat="1" outlineLevel="1">
      <c r="B36" s="484"/>
      <c r="C36" s="1047" t="s">
        <v>345</v>
      </c>
      <c r="D36" s="1048">
        <f>IF(SUM(VLOOKUP(D$26,'Equipment and SOO'!$E$6:$Y$30,MATCH($C36,'Equipment and SOO'!$E$6:$Y$6,FALSE),FALSE),VLOOKUP(D$27,'Equipment and SOO'!$E$6:$Y$30,MATCH($C36,'Equipment and SOO'!$E$6:$Y$6,FALSE),FALSE),VLOOKUP(D$24,'Equipment and SOO'!$E$6:$Y$30,MATCH($C36,'Equipment and SOO'!$E$6:$Y$6,FALSE),FALSE),VLOOKUP(D$30,'Equipment and SOO'!$E$6:$Y$30,MATCH($C36,'Equipment and SOO'!$E$6:$Y$6,FALSE),FALSE))&gt;0,1,0)*D$31</f>
        <v>0</v>
      </c>
      <c r="E36" s="1048">
        <f>IF(SUM(VLOOKUP(E$26,'Equipment and SOO'!$E$6:$Y$30,MATCH($C36,'Equipment and SOO'!$E$6:$Y$6,FALSE),FALSE),VLOOKUP(E$27,'Equipment and SOO'!$E$6:$Y$30,MATCH($C36,'Equipment and SOO'!$E$6:$Y$6,FALSE),FALSE),VLOOKUP(E$24,'Equipment and SOO'!$E$6:$Y$30,MATCH($C36,'Equipment and SOO'!$E$6:$Y$6,FALSE),FALSE),VLOOKUP(E$30,'Equipment and SOO'!$E$6:$Y$30,MATCH($C36,'Equipment and SOO'!$E$6:$Y$6,FALSE),FALSE))&gt;0,1,0)*E$31</f>
        <v>0</v>
      </c>
      <c r="F36" s="1048">
        <f>IF(SUM(VLOOKUP(F$26,'Equipment and SOO'!$E$6:$Y$30,MATCH($C36,'Equipment and SOO'!$E$6:$Y$6,FALSE),FALSE),VLOOKUP(F$27,'Equipment and SOO'!$E$6:$Y$30,MATCH($C36,'Equipment and SOO'!$E$6:$Y$6,FALSE),FALSE),VLOOKUP(F$24,'Equipment and SOO'!$E$6:$Y$30,MATCH($C36,'Equipment and SOO'!$E$6:$Y$6,FALSE),FALSE),VLOOKUP(F$30,'Equipment and SOO'!$E$6:$Y$30,MATCH($C36,'Equipment and SOO'!$E$6:$Y$6,FALSE),FALSE))&gt;0,1,0)*F$31</f>
        <v>0</v>
      </c>
      <c r="G36" s="1048">
        <f>IF(SUM(VLOOKUP(G$26,'Equipment and SOO'!$E$6:$Y$30,MATCH($C36,'Equipment and SOO'!$E$6:$Y$6,FALSE),FALSE),VLOOKUP(G$27,'Equipment and SOO'!$E$6:$Y$30,MATCH($C36,'Equipment and SOO'!$E$6:$Y$6,FALSE),FALSE),VLOOKUP(G$24,'Equipment and SOO'!$E$6:$Y$30,MATCH($C36,'Equipment and SOO'!$E$6:$Y$6,FALSE),FALSE),VLOOKUP(G$30,'Equipment and SOO'!$E$6:$Y$30,MATCH($C36,'Equipment and SOO'!$E$6:$Y$6,FALSE),FALSE))&gt;0,1,0)*G$31</f>
        <v>0</v>
      </c>
      <c r="H36" s="1048">
        <f>IF(SUM(VLOOKUP(H$26,'Equipment and SOO'!$E$6:$Y$30,MATCH($C36,'Equipment and SOO'!$E$6:$Y$6,FALSE),FALSE),VLOOKUP(H$27,'Equipment and SOO'!$E$6:$Y$30,MATCH($C36,'Equipment and SOO'!$E$6:$Y$6,FALSE),FALSE),VLOOKUP(H$24,'Equipment and SOO'!$E$6:$Y$30,MATCH($C36,'Equipment and SOO'!$E$6:$Y$6,FALSE),FALSE),VLOOKUP(H$30,'Equipment and SOO'!$E$6:$Y$30,MATCH($C36,'Equipment and SOO'!$E$6:$Y$6,FALSE),FALSE))&gt;0,1,0)*H$31</f>
        <v>0</v>
      </c>
      <c r="I36" s="498" t="s">
        <v>714</v>
      </c>
      <c r="J36" s="1804"/>
      <c r="Q36" s="335"/>
    </row>
    <row r="37" spans="1:19" s="147" customFormat="1" outlineLevel="1">
      <c r="B37" s="484"/>
      <c r="C37" s="473" t="s">
        <v>160</v>
      </c>
      <c r="D37" s="502">
        <f>IF(SUM(VLOOKUP(D$26,'Equipment and SOO'!$E$6:$Y$30,MATCH($C37,'Equipment and SOO'!$E$6:$Y$6,FALSE),FALSE),VLOOKUP(D$27,'Equipment and SOO'!$E$6:$Y$30,MATCH($C37,'Equipment and SOO'!$E$6:$Y$6,FALSE),FALSE),VLOOKUP(D$24,'Equipment and SOO'!$E$6:$Y$30,MATCH($C37,'Equipment and SOO'!$E$6:$Y$6,FALSE),FALSE),VLOOKUP(D$30,'Equipment and SOO'!$E$6:$Y$30,MATCH($C37,'Equipment and SOO'!$E$6:$Y$6,FALSE),FALSE))&gt;0,1,0)</f>
        <v>0</v>
      </c>
      <c r="E37" s="502">
        <f>IF(SUM(VLOOKUP(E$26,'Equipment and SOO'!$E$6:$Y$30,MATCH($C37,'Equipment and SOO'!$E$6:$Y$6,FALSE),FALSE),VLOOKUP(E$27,'Equipment and SOO'!$E$6:$Y$30,MATCH($C37,'Equipment and SOO'!$E$6:$Y$6,FALSE),FALSE),VLOOKUP(E$24,'Equipment and SOO'!$E$6:$Y$30,MATCH($C37,'Equipment and SOO'!$E$6:$Y$6,FALSE),FALSE),VLOOKUP(E$30,'Equipment and SOO'!$E$6:$Y$30,MATCH($C37,'Equipment and SOO'!$E$6:$Y$6,FALSE),FALSE))&gt;0,1,0)</f>
        <v>0</v>
      </c>
      <c r="F37" s="502">
        <f>IF(SUM(VLOOKUP(F$26,'Equipment and SOO'!$E$6:$Y$30,MATCH($C37,'Equipment and SOO'!$E$6:$Y$6,FALSE),FALSE),VLOOKUP(F$27,'Equipment and SOO'!$E$6:$Y$30,MATCH($C37,'Equipment and SOO'!$E$6:$Y$6,FALSE),FALSE),VLOOKUP(F$24,'Equipment and SOO'!$E$6:$Y$30,MATCH($C37,'Equipment and SOO'!$E$6:$Y$6,FALSE),FALSE),VLOOKUP(F$30,'Equipment and SOO'!$E$6:$Y$30,MATCH($C37,'Equipment and SOO'!$E$6:$Y$6,FALSE),FALSE))&gt;0,1,0)</f>
        <v>0</v>
      </c>
      <c r="G37" s="502">
        <f>IF(SUM(VLOOKUP(G$26,'Equipment and SOO'!$E$6:$Y$30,MATCH($C37,'Equipment and SOO'!$E$6:$Y$6,FALSE),FALSE),VLOOKUP(G$27,'Equipment and SOO'!$E$6:$Y$30,MATCH($C37,'Equipment and SOO'!$E$6:$Y$6,FALSE),FALSE),VLOOKUP(G$24,'Equipment and SOO'!$E$6:$Y$30,MATCH($C37,'Equipment and SOO'!$E$6:$Y$6,FALSE),FALSE),VLOOKUP(G$30,'Equipment and SOO'!$E$6:$Y$30,MATCH($C37,'Equipment and SOO'!$E$6:$Y$6,FALSE),FALSE))&gt;0,1,0)</f>
        <v>0</v>
      </c>
      <c r="H37" s="502">
        <f>IF(SUM(VLOOKUP(H$26,'Equipment and SOO'!$E$6:$Y$30,MATCH($C37,'Equipment and SOO'!$E$6:$Y$6,FALSE),FALSE),VLOOKUP(H$27,'Equipment and SOO'!$E$6:$Y$30,MATCH($C37,'Equipment and SOO'!$E$6:$Y$6,FALSE),FALSE),VLOOKUP(H$24,'Equipment and SOO'!$E$6:$Y$30,MATCH($C37,'Equipment and SOO'!$E$6:$Y$6,FALSE),FALSE),VLOOKUP(H$30,'Equipment and SOO'!$E$6:$Y$30,MATCH($C37,'Equipment and SOO'!$E$6:$Y$6,FALSE),FALSE))&gt;0,1,0)</f>
        <v>0</v>
      </c>
      <c r="I37" s="465" t="s">
        <v>346</v>
      </c>
      <c r="J37" s="1804"/>
      <c r="Q37" s="335"/>
    </row>
    <row r="38" spans="1:19" s="147" customFormat="1" outlineLevel="1">
      <c r="B38" s="484"/>
      <c r="C38" s="473" t="s">
        <v>175</v>
      </c>
      <c r="D38" s="502">
        <f>IF(SUM(VLOOKUP(D$26,'Equipment and SOO'!$E$6:$Y$30,MATCH($C38,'Equipment and SOO'!$E$6:$Y$6,FALSE),FALSE),VLOOKUP(D$27,'Equipment and SOO'!$E$6:$Y$30,MATCH($C38,'Equipment and SOO'!$E$6:$Y$6,FALSE),FALSE),VLOOKUP(D$24,'Equipment and SOO'!$E$6:$Y$30,MATCH($C38,'Equipment and SOO'!$E$6:$Y$6,FALSE),FALSE),VLOOKUP(D$30,'Equipment and SOO'!$E$6:$Y$30,MATCH($C38,'Equipment and SOO'!$E$6:$Y$6,FALSE),FALSE))&gt;0,1,0)</f>
        <v>0</v>
      </c>
      <c r="E38" s="502">
        <f>IF(SUM(VLOOKUP(E$26,'Equipment and SOO'!$E$6:$Y$30,MATCH($C38,'Equipment and SOO'!$E$6:$Y$6,FALSE),FALSE),VLOOKUP(E$27,'Equipment and SOO'!$E$6:$Y$30,MATCH($C38,'Equipment and SOO'!$E$6:$Y$6,FALSE),FALSE),VLOOKUP(E$24,'Equipment and SOO'!$E$6:$Y$30,MATCH($C38,'Equipment and SOO'!$E$6:$Y$6,FALSE),FALSE),VLOOKUP(E$30,'Equipment and SOO'!$E$6:$Y$30,MATCH($C38,'Equipment and SOO'!$E$6:$Y$6,FALSE),FALSE))&gt;0,1,0)</f>
        <v>0</v>
      </c>
      <c r="F38" s="502">
        <f>IF(SUM(VLOOKUP(F$26,'Equipment and SOO'!$E$6:$Y$30,MATCH($C38,'Equipment and SOO'!$E$6:$Y$6,FALSE),FALSE),VLOOKUP(F$27,'Equipment and SOO'!$E$6:$Y$30,MATCH($C38,'Equipment and SOO'!$E$6:$Y$6,FALSE),FALSE),VLOOKUP(F$24,'Equipment and SOO'!$E$6:$Y$30,MATCH($C38,'Equipment and SOO'!$E$6:$Y$6,FALSE),FALSE),VLOOKUP(F$30,'Equipment and SOO'!$E$6:$Y$30,MATCH($C38,'Equipment and SOO'!$E$6:$Y$6,FALSE),FALSE))&gt;0,1,0)</f>
        <v>0</v>
      </c>
      <c r="G38" s="502">
        <f>IF(SUM(VLOOKUP(G$26,'Equipment and SOO'!$E$6:$Y$30,MATCH($C38,'Equipment and SOO'!$E$6:$Y$6,FALSE),FALSE),VLOOKUP(G$27,'Equipment and SOO'!$E$6:$Y$30,MATCH($C38,'Equipment and SOO'!$E$6:$Y$6,FALSE),FALSE),VLOOKUP(G$24,'Equipment and SOO'!$E$6:$Y$30,MATCH($C38,'Equipment and SOO'!$E$6:$Y$6,FALSE),FALSE),VLOOKUP(G$30,'Equipment and SOO'!$E$6:$Y$30,MATCH($C38,'Equipment and SOO'!$E$6:$Y$6,FALSE),FALSE))&gt;0,1,0)</f>
        <v>0</v>
      </c>
      <c r="H38" s="502">
        <f>IF(SUM(VLOOKUP(H$26,'Equipment and SOO'!$E$6:$Y$30,MATCH($C38,'Equipment and SOO'!$E$6:$Y$6,FALSE),FALSE),VLOOKUP(H$27,'Equipment and SOO'!$E$6:$Y$30,MATCH($C38,'Equipment and SOO'!$E$6:$Y$6,FALSE),FALSE),VLOOKUP(H$24,'Equipment and SOO'!$E$6:$Y$30,MATCH($C38,'Equipment and SOO'!$E$6:$Y$6,FALSE),FALSE),VLOOKUP(H$30,'Equipment and SOO'!$E$6:$Y$30,MATCH($C38,'Equipment and SOO'!$E$6:$Y$6,FALSE),FALSE))&gt;0,1,0)</f>
        <v>0</v>
      </c>
      <c r="I38" s="465" t="s">
        <v>347</v>
      </c>
      <c r="J38" s="1804"/>
      <c r="Q38" s="335"/>
    </row>
    <row r="39" spans="1:19" s="147" customFormat="1" outlineLevel="1">
      <c r="B39" s="484"/>
      <c r="C39" s="473" t="s">
        <v>151</v>
      </c>
      <c r="D39" s="502">
        <f>IF(SUM(VLOOKUP(D$26,'Equipment and SOO'!$E$6:$Y$30,MATCH($C39,'Equipment and SOO'!$E$6:$Y$6,FALSE),FALSE),VLOOKUP(D$27,'Equipment and SOO'!$E$6:$Y$30,MATCH($C39,'Equipment and SOO'!$E$6:$Y$6,FALSE),FALSE),VLOOKUP(D$24,'Equipment and SOO'!$E$6:$Y$30,MATCH($C39,'Equipment and SOO'!$E$6:$Y$6,FALSE),FALSE),VLOOKUP(D$30,'Equipment and SOO'!$E$6:$Y$30,MATCH($C39,'Equipment and SOO'!$E$6:$Y$6,FALSE),FALSE))&gt;0,1,0)</f>
        <v>0</v>
      </c>
      <c r="E39" s="502">
        <f>IF(SUM(VLOOKUP(E$26,'Equipment and SOO'!$E$6:$Y$30,MATCH($C39,'Equipment and SOO'!$E$6:$Y$6,FALSE),FALSE),VLOOKUP(E$27,'Equipment and SOO'!$E$6:$Y$30,MATCH($C39,'Equipment and SOO'!$E$6:$Y$6,FALSE),FALSE),VLOOKUP(E$24,'Equipment and SOO'!$E$6:$Y$30,MATCH($C39,'Equipment and SOO'!$E$6:$Y$6,FALSE),FALSE),VLOOKUP(E$30,'Equipment and SOO'!$E$6:$Y$30,MATCH($C39,'Equipment and SOO'!$E$6:$Y$6,FALSE),FALSE))&gt;0,1,0)</f>
        <v>0</v>
      </c>
      <c r="F39" s="502">
        <f>IF(SUM(VLOOKUP(F$26,'Equipment and SOO'!$E$6:$Y$30,MATCH($C39,'Equipment and SOO'!$E$6:$Y$6,FALSE),FALSE),VLOOKUP(F$27,'Equipment and SOO'!$E$6:$Y$30,MATCH($C39,'Equipment and SOO'!$E$6:$Y$6,FALSE),FALSE),VLOOKUP(F$24,'Equipment and SOO'!$E$6:$Y$30,MATCH($C39,'Equipment and SOO'!$E$6:$Y$6,FALSE),FALSE),VLOOKUP(F$30,'Equipment and SOO'!$E$6:$Y$30,MATCH($C39,'Equipment and SOO'!$E$6:$Y$6,FALSE),FALSE))&gt;0,1,0)</f>
        <v>0</v>
      </c>
      <c r="G39" s="502">
        <f>IF(SUM(VLOOKUP(G$26,'Equipment and SOO'!$E$6:$Y$30,MATCH($C39,'Equipment and SOO'!$E$6:$Y$6,FALSE),FALSE),VLOOKUP(G$27,'Equipment and SOO'!$E$6:$Y$30,MATCH($C39,'Equipment and SOO'!$E$6:$Y$6,FALSE),FALSE),VLOOKUP(G$24,'Equipment and SOO'!$E$6:$Y$30,MATCH($C39,'Equipment and SOO'!$E$6:$Y$6,FALSE),FALSE),VLOOKUP(G$30,'Equipment and SOO'!$E$6:$Y$30,MATCH($C39,'Equipment and SOO'!$E$6:$Y$6,FALSE),FALSE))&gt;0,1,0)</f>
        <v>0</v>
      </c>
      <c r="H39" s="502">
        <f>IF(SUM(VLOOKUP(H$26,'Equipment and SOO'!$E$6:$Y$30,MATCH($C39,'Equipment and SOO'!$E$6:$Y$6,FALSE),FALSE),VLOOKUP(H$27,'Equipment and SOO'!$E$6:$Y$30,MATCH($C39,'Equipment and SOO'!$E$6:$Y$6,FALSE),FALSE),VLOOKUP(H$24,'Equipment and SOO'!$E$6:$Y$30,MATCH($C39,'Equipment and SOO'!$E$6:$Y$6,FALSE),FALSE),VLOOKUP(H$30,'Equipment and SOO'!$E$6:$Y$30,MATCH($C39,'Equipment and SOO'!$E$6:$Y$6,FALSE),FALSE))&gt;0,1,0)</f>
        <v>0</v>
      </c>
      <c r="I39" s="465" t="s">
        <v>348</v>
      </c>
      <c r="J39" s="1804"/>
      <c r="Q39" s="335"/>
    </row>
    <row r="40" spans="1:19" s="147" customFormat="1" outlineLevel="1">
      <c r="B40" s="484"/>
      <c r="C40" s="473" t="s">
        <v>349</v>
      </c>
      <c r="D40" s="502">
        <f>IF(SUM(VLOOKUP(D$26,'Equipment and SOO'!$E$6:$Y$30,MATCH($C40,'Equipment and SOO'!$E$6:$Y$6,FALSE),FALSE),VLOOKUP(D$27,'Equipment and SOO'!$E$6:$Y$30,MATCH($C40,'Equipment and SOO'!$E$6:$Y$6,FALSE),FALSE),VLOOKUP(D$24,'Equipment and SOO'!$E$6:$Y$30,MATCH($C40,'Equipment and SOO'!$E$6:$Y$6,FALSE),FALSE),VLOOKUP(D$30,'Equipment and SOO'!$E$6:$Y$30,MATCH($C40,'Equipment and SOO'!$E$6:$Y$6,FALSE),FALSE))&gt;0,1,0)*D33</f>
        <v>0</v>
      </c>
      <c r="E40" s="502">
        <f>IF(SUM(VLOOKUP(E$26,'Equipment and SOO'!$E$6:$Y$30,MATCH($C40,'Equipment and SOO'!$E$6:$Y$6,FALSE),FALSE),VLOOKUP(E$27,'Equipment and SOO'!$E$6:$Y$30,MATCH($C40,'Equipment and SOO'!$E$6:$Y$6,FALSE),FALSE),VLOOKUP(E$24,'Equipment and SOO'!$E$6:$Y$30,MATCH($C40,'Equipment and SOO'!$E$6:$Y$6,FALSE),FALSE),VLOOKUP(E$30,'Equipment and SOO'!$E$6:$Y$30,MATCH($C40,'Equipment and SOO'!$E$6:$Y$6,FALSE),FALSE))&gt;0,1,0)*E33</f>
        <v>0</v>
      </c>
      <c r="F40" s="502">
        <f>IF(SUM(VLOOKUP(F$26,'Equipment and SOO'!$E$6:$Y$30,MATCH($C40,'Equipment and SOO'!$E$6:$Y$6,FALSE),FALSE),VLOOKUP(F$27,'Equipment and SOO'!$E$6:$Y$30,MATCH($C40,'Equipment and SOO'!$E$6:$Y$6,FALSE),FALSE),VLOOKUP(F$24,'Equipment and SOO'!$E$6:$Y$30,MATCH($C40,'Equipment and SOO'!$E$6:$Y$6,FALSE),FALSE),VLOOKUP(F$30,'Equipment and SOO'!$E$6:$Y$30,MATCH($C40,'Equipment and SOO'!$E$6:$Y$6,FALSE),FALSE))&gt;0,1,0)*F33</f>
        <v>0</v>
      </c>
      <c r="G40" s="502">
        <f>IF(SUM(VLOOKUP(G$26,'Equipment and SOO'!$E$6:$Y$30,MATCH($C40,'Equipment and SOO'!$E$6:$Y$6,FALSE),FALSE),VLOOKUP(G$27,'Equipment and SOO'!$E$6:$Y$30,MATCH($C40,'Equipment and SOO'!$E$6:$Y$6,FALSE),FALSE),VLOOKUP(G$24,'Equipment and SOO'!$E$6:$Y$30,MATCH($C40,'Equipment and SOO'!$E$6:$Y$6,FALSE),FALSE),VLOOKUP(G$30,'Equipment and SOO'!$E$6:$Y$30,MATCH($C40,'Equipment and SOO'!$E$6:$Y$6,FALSE),FALSE))&gt;0,1,0)*G33</f>
        <v>0</v>
      </c>
      <c r="H40" s="502">
        <f>IF(SUM(VLOOKUP(H$26,'Equipment and SOO'!$E$6:$Y$30,MATCH($C40,'Equipment and SOO'!$E$6:$Y$6,FALSE),FALSE),VLOOKUP(H$27,'Equipment and SOO'!$E$6:$Y$30,MATCH($C40,'Equipment and SOO'!$E$6:$Y$6,FALSE),FALSE),VLOOKUP(H$24,'Equipment and SOO'!$E$6:$Y$30,MATCH($C40,'Equipment and SOO'!$E$6:$Y$6,FALSE),FALSE),VLOOKUP(H$30,'Equipment and SOO'!$E$6:$Y$30,MATCH($C40,'Equipment and SOO'!$E$6:$Y$6,FALSE),FALSE))&gt;0,1,0)*H33</f>
        <v>0</v>
      </c>
      <c r="I40" s="465" t="s">
        <v>716</v>
      </c>
      <c r="J40" s="1804"/>
      <c r="Q40" s="335"/>
    </row>
    <row r="41" spans="1:19" s="147" customFormat="1" ht="29.1" outlineLevel="1">
      <c r="B41" s="484"/>
      <c r="C41" s="1240" t="s">
        <v>177</v>
      </c>
      <c r="D41" s="502">
        <f>IF(SUM(VLOOKUP(D$26,'Equipment and SOO'!$E$6:$Y$30,MATCH($C41,'Equipment and SOO'!$E$6:$Y$6,FALSE),FALSE),VLOOKUP(D$27,'Equipment and SOO'!$E$6:$Y$30,MATCH($C41,'Equipment and SOO'!$E$6:$Y$6,FALSE),FALSE),VLOOKUP(D$24,'Equipment and SOO'!$E$6:$Y$30,MATCH($C41,'Equipment and SOO'!$E$6:$Y$6,FALSE),FALSE),VLOOKUP(D$30,'Equipment and SOO'!$E$6:$Y$30,MATCH($C41,'Equipment and SOO'!$E$6:$Y$6,FALSE),FALSE))&gt;0,1,0)*D33</f>
        <v>0</v>
      </c>
      <c r="E41" s="502">
        <f>IF(SUM(VLOOKUP(E$26,'Equipment and SOO'!$E$6:$Y$30,MATCH($C41,'Equipment and SOO'!$E$6:$Y$6,FALSE),FALSE),VLOOKUP(E$27,'Equipment and SOO'!$E$6:$Y$30,MATCH($C41,'Equipment and SOO'!$E$6:$Y$6,FALSE),FALSE),VLOOKUP(E$24,'Equipment and SOO'!$E$6:$Y$30,MATCH($C41,'Equipment and SOO'!$E$6:$Y$6,FALSE),FALSE),VLOOKUP(E$30,'Equipment and SOO'!$E$6:$Y$30,MATCH($C41,'Equipment and SOO'!$E$6:$Y$6,FALSE),FALSE))&gt;0,1,0)*E33</f>
        <v>0</v>
      </c>
      <c r="F41" s="502">
        <f>IF(SUM(VLOOKUP(F$26,'Equipment and SOO'!$E$6:$Y$30,MATCH($C41,'Equipment and SOO'!$E$6:$Y$6,FALSE),FALSE),VLOOKUP(F$27,'Equipment and SOO'!$E$6:$Y$30,MATCH($C41,'Equipment and SOO'!$E$6:$Y$6,FALSE),FALSE),VLOOKUP(F$24,'Equipment and SOO'!$E$6:$Y$30,MATCH($C41,'Equipment and SOO'!$E$6:$Y$6,FALSE),FALSE),VLOOKUP(F$30,'Equipment and SOO'!$E$6:$Y$30,MATCH($C41,'Equipment and SOO'!$E$6:$Y$6,FALSE),FALSE))&gt;0,1,0)*F33</f>
        <v>0</v>
      </c>
      <c r="G41" s="502">
        <f>IF(SUM(VLOOKUP(G$26,'Equipment and SOO'!$E$6:$Y$30,MATCH($C41,'Equipment and SOO'!$E$6:$Y$6,FALSE),FALSE),VLOOKUP(G$27,'Equipment and SOO'!$E$6:$Y$30,MATCH($C41,'Equipment and SOO'!$E$6:$Y$6,FALSE),FALSE),VLOOKUP(G$24,'Equipment and SOO'!$E$6:$Y$30,MATCH($C41,'Equipment and SOO'!$E$6:$Y$6,FALSE),FALSE),VLOOKUP(G$30,'Equipment and SOO'!$E$6:$Y$30,MATCH($C41,'Equipment and SOO'!$E$6:$Y$6,FALSE),FALSE))&gt;0,1,0)*G33</f>
        <v>0</v>
      </c>
      <c r="H41" s="502">
        <f>IF(SUM(VLOOKUP(H$26,'Equipment and SOO'!$E$6:$Y$30,MATCH($C41,'Equipment and SOO'!$E$6:$Y$6,FALSE),FALSE),VLOOKUP(H$27,'Equipment and SOO'!$E$6:$Y$30,MATCH($C41,'Equipment and SOO'!$E$6:$Y$6,FALSE),FALSE),VLOOKUP(H$24,'Equipment and SOO'!$E$6:$Y$30,MATCH($C41,'Equipment and SOO'!$E$6:$Y$6,FALSE),FALSE),VLOOKUP(H$30,'Equipment and SOO'!$E$6:$Y$30,MATCH($C41,'Equipment and SOO'!$E$6:$Y$6,FALSE),FALSE))&gt;0,1,0)*H33</f>
        <v>0</v>
      </c>
      <c r="I41" s="1241" t="s">
        <v>351</v>
      </c>
      <c r="J41" s="1804"/>
      <c r="Q41" s="335"/>
    </row>
    <row r="42" spans="1:19" s="147" customFormat="1" ht="29.1" outlineLevel="1">
      <c r="B42" s="484"/>
      <c r="C42" s="473" t="s">
        <v>352</v>
      </c>
      <c r="D42" s="502">
        <f>IF(SUM(VLOOKUP(D$26,'Equipment and SOO'!$E$6:$Y$30,MATCH($C42,'Equipment and SOO'!$E$6:$Y$6,FALSE),FALSE),VLOOKUP(D$27,'Equipment and SOO'!$E$6:$Y$30,MATCH($C42,'Equipment and SOO'!$E$6:$Y$6,FALSE),FALSE),VLOOKUP(D$24,'Equipment and SOO'!$E$6:$Y$30,MATCH($C42,'Equipment and SOO'!$E$6:$Y$6,FALSE),FALSE),VLOOKUP(D$30,'Equipment and SOO'!$E$6:$Y$30,MATCH($C42,'Equipment and SOO'!$E$6:$Y$6,FALSE),FALSE))&gt;0,1,0)*D33</f>
        <v>0</v>
      </c>
      <c r="E42" s="502">
        <f>IF(SUM(VLOOKUP(E$26,'Equipment and SOO'!$E$6:$Y$30,MATCH($C42,'Equipment and SOO'!$E$6:$Y$6,FALSE),FALSE),VLOOKUP(E$27,'Equipment and SOO'!$E$6:$Y$30,MATCH($C42,'Equipment and SOO'!$E$6:$Y$6,FALSE),FALSE),VLOOKUP(E$24,'Equipment and SOO'!$E$6:$Y$30,MATCH($C42,'Equipment and SOO'!$E$6:$Y$6,FALSE),FALSE),VLOOKUP(E$30,'Equipment and SOO'!$E$6:$Y$30,MATCH($C42,'Equipment and SOO'!$E$6:$Y$6,FALSE),FALSE))&gt;0,1,0)*E33</f>
        <v>0</v>
      </c>
      <c r="F42" s="502">
        <f>IF(SUM(VLOOKUP(F$26,'Equipment and SOO'!$E$6:$Y$30,MATCH($C42,'Equipment and SOO'!$E$6:$Y$6,FALSE),FALSE),VLOOKUP(F$27,'Equipment and SOO'!$E$6:$Y$30,MATCH($C42,'Equipment and SOO'!$E$6:$Y$6,FALSE),FALSE),VLOOKUP(F$24,'Equipment and SOO'!$E$6:$Y$30,MATCH($C42,'Equipment and SOO'!$E$6:$Y$6,FALSE),FALSE),VLOOKUP(F$30,'Equipment and SOO'!$E$6:$Y$30,MATCH($C42,'Equipment and SOO'!$E$6:$Y$6,FALSE),FALSE))&gt;0,1,0)*F33</f>
        <v>0</v>
      </c>
      <c r="G42" s="502">
        <f>IF(SUM(VLOOKUP(G$26,'Equipment and SOO'!$E$6:$Y$30,MATCH($C42,'Equipment and SOO'!$E$6:$Y$6,FALSE),FALSE),VLOOKUP(G$27,'Equipment and SOO'!$E$6:$Y$30,MATCH($C42,'Equipment and SOO'!$E$6:$Y$6,FALSE),FALSE),VLOOKUP(G$24,'Equipment and SOO'!$E$6:$Y$30,MATCH($C42,'Equipment and SOO'!$E$6:$Y$6,FALSE),FALSE),VLOOKUP(G$30,'Equipment and SOO'!$E$6:$Y$30,MATCH($C42,'Equipment and SOO'!$E$6:$Y$6,FALSE),FALSE))&gt;0,1,0)*G33</f>
        <v>0</v>
      </c>
      <c r="H42" s="502">
        <f>IF(SUM(VLOOKUP(H$26,'Equipment and SOO'!$E$6:$Y$30,MATCH($C42,'Equipment and SOO'!$E$6:$Y$6,FALSE),FALSE),VLOOKUP(H$27,'Equipment and SOO'!$E$6:$Y$30,MATCH($C42,'Equipment and SOO'!$E$6:$Y$6,FALSE),FALSE),VLOOKUP(H$24,'Equipment and SOO'!$E$6:$Y$30,MATCH($C42,'Equipment and SOO'!$E$6:$Y$6,FALSE),FALSE),VLOOKUP(H$30,'Equipment and SOO'!$E$6:$Y$30,MATCH($C42,'Equipment and SOO'!$E$6:$Y$6,FALSE),FALSE))&gt;0,1,0)*H33</f>
        <v>0</v>
      </c>
      <c r="I42" s="465" t="s">
        <v>716</v>
      </c>
      <c r="J42" s="1804"/>
      <c r="Q42" s="335"/>
    </row>
    <row r="43" spans="1:19" s="147" customFormat="1" ht="29.1" outlineLevel="1">
      <c r="B43" s="485"/>
      <c r="C43" s="486" t="s">
        <v>162</v>
      </c>
      <c r="D43" s="503">
        <f>IF(SUM(VLOOKUP(D$26,'Equipment and SOO'!$E$6:$Y$30,MATCH($C43,'Equipment and SOO'!$E$6:$Y$6,FALSE),FALSE),VLOOKUP(D$27,'Equipment and SOO'!$E$6:$Y$30,MATCH($C43,'Equipment and SOO'!$E$6:$Y$6,FALSE),FALSE),VLOOKUP(D$24,'Equipment and SOO'!$E$6:$Y$30,MATCH($C43,'Equipment and SOO'!$E$6:$Y$6,FALSE),FALSE),VLOOKUP(D$30,'Equipment and SOO'!$E$6:$Y$30,MATCH($C43,'Equipment and SOO'!$E$6:$Y$6,FALSE),FALSE))&gt;0,1,0)</f>
        <v>0</v>
      </c>
      <c r="E43" s="503">
        <f>IF(SUM(VLOOKUP(E$26,'Equipment and SOO'!$E$6:$Y$30,MATCH($C43,'Equipment and SOO'!$E$6:$Y$6,FALSE),FALSE),VLOOKUP(E$27,'Equipment and SOO'!$E$6:$Y$30,MATCH($C43,'Equipment and SOO'!$E$6:$Y$6,FALSE),FALSE),VLOOKUP(E$24,'Equipment and SOO'!$E$6:$Y$30,MATCH($C43,'Equipment and SOO'!$E$6:$Y$6,FALSE),FALSE),VLOOKUP(E$30,'Equipment and SOO'!$E$6:$Y$30,MATCH($C43,'Equipment and SOO'!$E$6:$Y$6,FALSE),FALSE))&gt;0,1,0)</f>
        <v>0</v>
      </c>
      <c r="F43" s="503">
        <f>IF(SUM(VLOOKUP(F$26,'Equipment and SOO'!$E$6:$Y$30,MATCH($C43,'Equipment and SOO'!$E$6:$Y$6,FALSE),FALSE),VLOOKUP(F$27,'Equipment and SOO'!$E$6:$Y$30,MATCH($C43,'Equipment and SOO'!$E$6:$Y$6,FALSE),FALSE),VLOOKUP(F$24,'Equipment and SOO'!$E$6:$Y$30,MATCH($C43,'Equipment and SOO'!$E$6:$Y$6,FALSE),FALSE),VLOOKUP(F$30,'Equipment and SOO'!$E$6:$Y$30,MATCH($C43,'Equipment and SOO'!$E$6:$Y$6,FALSE),FALSE))&gt;0,1,0)</f>
        <v>0</v>
      </c>
      <c r="G43" s="503">
        <f>IF(SUM(VLOOKUP(G$26,'Equipment and SOO'!$E$6:$Y$30,MATCH($C43,'Equipment and SOO'!$E$6:$Y$6,FALSE),FALSE),VLOOKUP(G$27,'Equipment and SOO'!$E$6:$Y$30,MATCH($C43,'Equipment and SOO'!$E$6:$Y$6,FALSE),FALSE),VLOOKUP(G$24,'Equipment and SOO'!$E$6:$Y$30,MATCH($C43,'Equipment and SOO'!$E$6:$Y$6,FALSE),FALSE),VLOOKUP(G$30,'Equipment and SOO'!$E$6:$Y$30,MATCH($C43,'Equipment and SOO'!$E$6:$Y$6,FALSE),FALSE))&gt;0,1,0)</f>
        <v>0</v>
      </c>
      <c r="H43" s="503">
        <f>IF(SUM(VLOOKUP(H$26,'Equipment and SOO'!$E$6:$Y$30,MATCH($C43,'Equipment and SOO'!$E$6:$Y$6,FALSE),FALSE),VLOOKUP(H$27,'Equipment and SOO'!$E$6:$Y$30,MATCH($C43,'Equipment and SOO'!$E$6:$Y$6,FALSE),FALSE),VLOOKUP(H$24,'Equipment and SOO'!$E$6:$Y$30,MATCH($C43,'Equipment and SOO'!$E$6:$Y$6,FALSE),FALSE),VLOOKUP(H$30,'Equipment and SOO'!$E$6:$Y$30,MATCH($C43,'Equipment and SOO'!$E$6:$Y$6,FALSE),FALSE))&gt;0,1,0)</f>
        <v>0</v>
      </c>
      <c r="I43" s="759" t="s">
        <v>346</v>
      </c>
      <c r="J43" s="1805"/>
      <c r="Q43" s="335"/>
    </row>
    <row r="44" spans="1:19" s="147" customFormat="1">
      <c r="C44" s="470"/>
      <c r="I44" s="335"/>
      <c r="Q44" s="335"/>
    </row>
    <row r="45" spans="1:19" s="147" customFormat="1">
      <c r="C45" s="470"/>
      <c r="I45" s="335"/>
      <c r="Q45" s="335"/>
    </row>
    <row r="46" spans="1:19" s="147" customFormat="1" ht="26.1">
      <c r="A46" s="150" t="s">
        <v>717</v>
      </c>
      <c r="C46" s="470"/>
      <c r="I46" s="335"/>
      <c r="Q46" s="335"/>
    </row>
    <row r="47" spans="1:19" s="147" customFormat="1" ht="34.5" customHeight="1">
      <c r="B47" s="478" t="s">
        <v>68</v>
      </c>
      <c r="C47" s="479" t="s">
        <v>172</v>
      </c>
      <c r="D47" s="480" t="s">
        <v>306</v>
      </c>
      <c r="E47" s="480" t="s">
        <v>307</v>
      </c>
      <c r="F47" s="480" t="s">
        <v>308</v>
      </c>
      <c r="G47" s="480" t="s">
        <v>309</v>
      </c>
      <c r="H47" s="480" t="s">
        <v>310</v>
      </c>
      <c r="I47" s="479" t="s">
        <v>311</v>
      </c>
      <c r="J47" s="479" t="s">
        <v>718</v>
      </c>
      <c r="K47" s="479" t="s">
        <v>719</v>
      </c>
      <c r="L47" s="481" t="s">
        <v>547</v>
      </c>
      <c r="S47" s="335"/>
    </row>
    <row r="48" spans="1:19" s="147" customFormat="1">
      <c r="B48" s="482" t="s">
        <v>720</v>
      </c>
      <c r="C48" s="473" t="s">
        <v>721</v>
      </c>
      <c r="D48" s="476">
        <f>'User Inputs and Savings'!C49</f>
        <v>0</v>
      </c>
      <c r="E48" s="476">
        <f>'User Inputs and Savings'!D49</f>
        <v>0</v>
      </c>
      <c r="F48" s="476">
        <f>'User Inputs and Savings'!E49</f>
        <v>0</v>
      </c>
      <c r="G48" s="476">
        <f>'User Inputs and Savings'!F49</f>
        <v>0</v>
      </c>
      <c r="H48" s="476">
        <f>'User Inputs and Savings'!G49</f>
        <v>0</v>
      </c>
      <c r="I48" s="476">
        <f t="shared" ref="I48:I54" si="7">SUM(D48:H48)</f>
        <v>0</v>
      </c>
      <c r="J48" s="333">
        <f>'User Inputs and Savings'!C19</f>
        <v>0</v>
      </c>
      <c r="K48" s="464" t="s">
        <v>722</v>
      </c>
      <c r="L48" s="483"/>
      <c r="S48" s="335"/>
    </row>
    <row r="49" spans="2:19" s="147" customFormat="1">
      <c r="B49" s="485"/>
      <c r="C49" s="486" t="s">
        <v>723</v>
      </c>
      <c r="D49" s="881" t="e">
        <f>'User Inputs and Savings'!C49/'User Inputs and Savings'!$C$19</f>
        <v>#DIV/0!</v>
      </c>
      <c r="E49" s="881" t="e">
        <f>'User Inputs and Savings'!D49/'User Inputs and Savings'!$C$19</f>
        <v>#DIV/0!</v>
      </c>
      <c r="F49" s="881" t="e">
        <f>'User Inputs and Savings'!E49/'User Inputs and Savings'!$C$19</f>
        <v>#DIV/0!</v>
      </c>
      <c r="G49" s="881" t="e">
        <f>'User Inputs and Savings'!F49/'User Inputs and Savings'!$C$19</f>
        <v>#DIV/0!</v>
      </c>
      <c r="H49" s="881" t="e">
        <f>'User Inputs and Savings'!G49/'User Inputs and Savings'!$C$19</f>
        <v>#DIV/0!</v>
      </c>
      <c r="I49" s="882"/>
      <c r="J49" s="881" t="e">
        <f>I48/J48</f>
        <v>#DIV/0!</v>
      </c>
      <c r="K49" s="488" t="s">
        <v>724</v>
      </c>
      <c r="L49" s="489"/>
      <c r="S49" s="335"/>
    </row>
    <row r="50" spans="2:19" s="147" customFormat="1">
      <c r="B50" s="496" t="s">
        <v>725</v>
      </c>
      <c r="C50" s="867" t="s">
        <v>726</v>
      </c>
      <c r="D50" s="879" t="e">
        <f>$J$50*D49</f>
        <v>#DIV/0!</v>
      </c>
      <c r="E50" s="879" t="e">
        <f t="shared" ref="E50:H50" si="8">$J$50*E49</f>
        <v>#DIV/0!</v>
      </c>
      <c r="F50" s="879" t="e">
        <f t="shared" si="8"/>
        <v>#DIV/0!</v>
      </c>
      <c r="G50" s="879" t="e">
        <f t="shared" si="8"/>
        <v>#DIV/0!</v>
      </c>
      <c r="H50" s="879" t="e">
        <f t="shared" si="8"/>
        <v>#DIV/0!</v>
      </c>
      <c r="I50" s="879" t="e">
        <f t="shared" si="7"/>
        <v>#DIV/0!</v>
      </c>
      <c r="J50" s="880">
        <f>'User Inputs and Savings'!C20*D7</f>
        <v>0</v>
      </c>
      <c r="K50" s="869" t="s">
        <v>727</v>
      </c>
      <c r="L50" s="497"/>
      <c r="M50" s="167"/>
      <c r="S50" s="335"/>
    </row>
    <row r="51" spans="2:19" s="147" customFormat="1">
      <c r="B51" s="484"/>
      <c r="C51" s="473" t="s">
        <v>728</v>
      </c>
      <c r="D51" s="476" t="e">
        <f>$J$51*D49</f>
        <v>#N/A</v>
      </c>
      <c r="E51" s="476" t="e">
        <f t="shared" ref="E51:H51" si="9">$J$51*E49</f>
        <v>#N/A</v>
      </c>
      <c r="F51" s="476" t="e">
        <f t="shared" si="9"/>
        <v>#N/A</v>
      </c>
      <c r="G51" s="476" t="e">
        <f t="shared" si="9"/>
        <v>#N/A</v>
      </c>
      <c r="H51" s="476" t="e">
        <f t="shared" si="9"/>
        <v>#N/A</v>
      </c>
      <c r="I51" s="476" t="e">
        <f t="shared" si="7"/>
        <v>#N/A</v>
      </c>
      <c r="J51" s="476" t="e">
        <f>'User Inputs and Savings'!C21*SUMPRODUCT(C4:C6,D4:D6)</f>
        <v>#N/A</v>
      </c>
      <c r="K51" s="475" t="s">
        <v>727</v>
      </c>
      <c r="L51" s="483" t="s">
        <v>729</v>
      </c>
      <c r="M51" s="167"/>
      <c r="S51" s="335"/>
    </row>
    <row r="52" spans="2:19" s="147" customFormat="1">
      <c r="B52" s="484"/>
      <c r="C52" s="473" t="s">
        <v>730</v>
      </c>
      <c r="D52" s="476" t="e">
        <f>D51+D50</f>
        <v>#N/A</v>
      </c>
      <c r="E52" s="476" t="e">
        <f t="shared" ref="E52:H52" si="10">E51+E50</f>
        <v>#N/A</v>
      </c>
      <c r="F52" s="476" t="e">
        <f t="shared" si="10"/>
        <v>#N/A</v>
      </c>
      <c r="G52" s="476" t="e">
        <f t="shared" si="10"/>
        <v>#N/A</v>
      </c>
      <c r="H52" s="476" t="e">
        <f t="shared" si="10"/>
        <v>#N/A</v>
      </c>
      <c r="I52" s="476" t="e">
        <f>SUM(D52:H52)</f>
        <v>#N/A</v>
      </c>
      <c r="J52" s="333" t="e">
        <f>J51+J50</f>
        <v>#N/A</v>
      </c>
      <c r="K52" s="475" t="s">
        <v>727</v>
      </c>
      <c r="L52" s="483"/>
      <c r="S52" s="335"/>
    </row>
    <row r="53" spans="2:19" s="147" customFormat="1">
      <c r="B53" s="484"/>
      <c r="C53" s="473" t="s">
        <v>579</v>
      </c>
      <c r="D53" s="476" t="e">
        <f>VLOOKUP(D26,'Equipment and SOO'!$E$7:$K$14,7,FALSE)*D$50</f>
        <v>#DIV/0!</v>
      </c>
      <c r="E53" s="476" t="e">
        <f>VLOOKUP(E26,'Equipment and SOO'!$E$7:$K$14,7,FALSE)*E$50</f>
        <v>#DIV/0!</v>
      </c>
      <c r="F53" s="476" t="e">
        <f>VLOOKUP(F26,'Equipment and SOO'!$E$7:$K$14,7,FALSE)*F$50</f>
        <v>#DIV/0!</v>
      </c>
      <c r="G53" s="476" t="e">
        <f>VLOOKUP(G26,'Equipment and SOO'!$E$7:$K$14,7,FALSE)*G$50</f>
        <v>#DIV/0!</v>
      </c>
      <c r="H53" s="476" t="e">
        <f>VLOOKUP(H26,'Equipment and SOO'!$E$7:$K$14,7,FALSE)*H$50</f>
        <v>#DIV/0!</v>
      </c>
      <c r="I53" s="476" t="e">
        <f t="shared" si="7"/>
        <v>#DIV/0!</v>
      </c>
      <c r="J53" s="476"/>
      <c r="K53" s="475" t="s">
        <v>727</v>
      </c>
      <c r="L53" s="483" t="s">
        <v>731</v>
      </c>
      <c r="S53" s="335"/>
    </row>
    <row r="54" spans="2:19" s="147" customFormat="1">
      <c r="B54" s="485"/>
      <c r="C54" s="486" t="s">
        <v>580</v>
      </c>
      <c r="D54" s="883" t="e">
        <f>D50-D53</f>
        <v>#DIV/0!</v>
      </c>
      <c r="E54" s="883" t="e">
        <f t="shared" ref="E54:H54" si="11">E50-E53</f>
        <v>#DIV/0!</v>
      </c>
      <c r="F54" s="883" t="e">
        <f t="shared" si="11"/>
        <v>#DIV/0!</v>
      </c>
      <c r="G54" s="883" t="e">
        <f t="shared" si="11"/>
        <v>#DIV/0!</v>
      </c>
      <c r="H54" s="883" t="e">
        <f t="shared" si="11"/>
        <v>#DIV/0!</v>
      </c>
      <c r="I54" s="883" t="e">
        <f t="shared" si="7"/>
        <v>#DIV/0!</v>
      </c>
      <c r="J54" s="883"/>
      <c r="K54" s="488" t="s">
        <v>727</v>
      </c>
      <c r="L54" s="489"/>
      <c r="S54" s="335"/>
    </row>
    <row r="55" spans="2:19" s="147" customFormat="1">
      <c r="B55" s="496" t="s">
        <v>732</v>
      </c>
      <c r="C55" s="867" t="s">
        <v>733</v>
      </c>
      <c r="D55" s="868" t="e">
        <f>D50/'User Inputs and Savings'!C$49</f>
        <v>#DIV/0!</v>
      </c>
      <c r="E55" s="868" t="e">
        <f>E50/'User Inputs and Savings'!D$49</f>
        <v>#DIV/0!</v>
      </c>
      <c r="F55" s="868" t="e">
        <f>F50/'User Inputs and Savings'!E$49</f>
        <v>#DIV/0!</v>
      </c>
      <c r="G55" s="868" t="e">
        <f>G50/'User Inputs and Savings'!F$49</f>
        <v>#DIV/0!</v>
      </c>
      <c r="H55" s="868" t="e">
        <f>H50/'User Inputs and Savings'!G$49</f>
        <v>#DIV/0!</v>
      </c>
      <c r="I55" s="868" t="e">
        <f>I50/'User Inputs and Savings'!H$49</f>
        <v>#DIV/0!</v>
      </c>
      <c r="J55" s="868" t="e">
        <f>J50/$J$48</f>
        <v>#DIV/0!</v>
      </c>
      <c r="K55" s="869" t="s">
        <v>264</v>
      </c>
      <c r="L55" s="497"/>
      <c r="S55" s="335"/>
    </row>
    <row r="56" spans="2:19" s="147" customFormat="1">
      <c r="B56" s="484"/>
      <c r="C56" s="473" t="s">
        <v>734</v>
      </c>
      <c r="D56" s="477" t="e">
        <f>D51/'User Inputs and Savings'!C$49</f>
        <v>#N/A</v>
      </c>
      <c r="E56" s="477" t="e">
        <f>E51/'User Inputs and Savings'!D$49</f>
        <v>#N/A</v>
      </c>
      <c r="F56" s="477" t="e">
        <f>F51/'User Inputs and Savings'!E$49</f>
        <v>#N/A</v>
      </c>
      <c r="G56" s="477" t="e">
        <f>G51/'User Inputs and Savings'!F$49</f>
        <v>#N/A</v>
      </c>
      <c r="H56" s="477" t="e">
        <f>H51/'User Inputs and Savings'!G$49</f>
        <v>#N/A</v>
      </c>
      <c r="I56" s="477" t="e">
        <f>I51/'User Inputs and Savings'!H$49</f>
        <v>#N/A</v>
      </c>
      <c r="J56" s="477" t="e">
        <f>J51/$J$48</f>
        <v>#N/A</v>
      </c>
      <c r="K56" s="475" t="s">
        <v>264</v>
      </c>
      <c r="L56" s="483"/>
      <c r="S56" s="335"/>
    </row>
    <row r="57" spans="2:19" s="147" customFormat="1">
      <c r="B57" s="484"/>
      <c r="C57" s="473" t="s">
        <v>735</v>
      </c>
      <c r="D57" s="477" t="e">
        <f>D52/'User Inputs and Savings'!C$49</f>
        <v>#N/A</v>
      </c>
      <c r="E57" s="477" t="e">
        <f>E52/'User Inputs and Savings'!D$49</f>
        <v>#N/A</v>
      </c>
      <c r="F57" s="477" t="e">
        <f>F52/'User Inputs and Savings'!E$49</f>
        <v>#N/A</v>
      </c>
      <c r="G57" s="477" t="e">
        <f>G52/'User Inputs and Savings'!F$49</f>
        <v>#N/A</v>
      </c>
      <c r="H57" s="477" t="e">
        <f>H52/'User Inputs and Savings'!G$49</f>
        <v>#N/A</v>
      </c>
      <c r="I57" s="477" t="e">
        <f>I52/'User Inputs and Savings'!H$49</f>
        <v>#N/A</v>
      </c>
      <c r="J57" s="477" t="e">
        <f>J52/$J$48</f>
        <v>#N/A</v>
      </c>
      <c r="K57" s="475" t="s">
        <v>264</v>
      </c>
      <c r="L57" s="483"/>
      <c r="S57" s="335"/>
    </row>
    <row r="58" spans="2:19" s="147" customFormat="1">
      <c r="B58" s="484"/>
      <c r="C58" s="473" t="s">
        <v>736</v>
      </c>
      <c r="D58" s="477" t="e">
        <f>D53/'User Inputs and Savings'!C$49</f>
        <v>#DIV/0!</v>
      </c>
      <c r="E58" s="477" t="e">
        <f>E53/'User Inputs and Savings'!D$49</f>
        <v>#DIV/0!</v>
      </c>
      <c r="F58" s="477" t="e">
        <f>F53/'User Inputs and Savings'!E$49</f>
        <v>#DIV/0!</v>
      </c>
      <c r="G58" s="477" t="e">
        <f>G53/'User Inputs and Savings'!F$49</f>
        <v>#DIV/0!</v>
      </c>
      <c r="H58" s="477" t="e">
        <f>H53/'User Inputs and Savings'!G$49</f>
        <v>#DIV/0!</v>
      </c>
      <c r="I58" s="477" t="e">
        <f>I53/'User Inputs and Savings'!H$49</f>
        <v>#DIV/0!</v>
      </c>
      <c r="J58" s="477"/>
      <c r="K58" s="475" t="s">
        <v>264</v>
      </c>
      <c r="L58" s="483"/>
      <c r="S58" s="335"/>
    </row>
    <row r="59" spans="2:19" s="147" customFormat="1">
      <c r="B59" s="485"/>
      <c r="C59" s="486" t="s">
        <v>737</v>
      </c>
      <c r="D59" s="487" t="e">
        <f>D54/'User Inputs and Savings'!C$49</f>
        <v>#DIV/0!</v>
      </c>
      <c r="E59" s="487" t="e">
        <f>E54/'User Inputs and Savings'!D$49</f>
        <v>#DIV/0!</v>
      </c>
      <c r="F59" s="487" t="e">
        <f>F54/'User Inputs and Savings'!E$49</f>
        <v>#DIV/0!</v>
      </c>
      <c r="G59" s="487" t="e">
        <f>G54/'User Inputs and Savings'!F$49</f>
        <v>#DIV/0!</v>
      </c>
      <c r="H59" s="487" t="e">
        <f>H54/'User Inputs and Savings'!G$49</f>
        <v>#DIV/0!</v>
      </c>
      <c r="I59" s="487" t="e">
        <f>I54/'User Inputs and Savings'!H$49</f>
        <v>#DIV/0!</v>
      </c>
      <c r="J59" s="487"/>
      <c r="K59" s="488" t="s">
        <v>264</v>
      </c>
      <c r="L59" s="489"/>
      <c r="S59" s="335"/>
    </row>
    <row r="60" spans="2:19" s="147" customFormat="1">
      <c r="B60" s="482" t="s">
        <v>738</v>
      </c>
      <c r="C60" s="473" t="s">
        <v>739</v>
      </c>
      <c r="D60" s="875">
        <f>IF(D24="ah0",4,IF(D68="eq0",3,IF(D68="cc1",1,2)))</f>
        <v>4</v>
      </c>
      <c r="E60" s="875">
        <f t="shared" ref="E60:H60" si="12">IF(E24="ah0",4,IF(E68="eq0",3,IF(E68="cc1",1,2)))</f>
        <v>4</v>
      </c>
      <c r="F60" s="875">
        <f t="shared" si="12"/>
        <v>4</v>
      </c>
      <c r="G60" s="875">
        <f t="shared" si="12"/>
        <v>4</v>
      </c>
      <c r="H60" s="875">
        <f t="shared" si="12"/>
        <v>4</v>
      </c>
      <c r="I60" s="477"/>
      <c r="J60" s="477"/>
      <c r="K60" s="475"/>
      <c r="L60" s="483" t="s">
        <v>740</v>
      </c>
      <c r="S60" s="335"/>
    </row>
    <row r="61" spans="2:19" s="147" customFormat="1">
      <c r="B61" s="484"/>
      <c r="C61" s="473" t="s">
        <v>741</v>
      </c>
      <c r="D61" s="874" t="e">
        <f>HLOOKUP(D60,'Equipment and SOO'!$E$78:$H$82,D21+2,FALSE)</f>
        <v>#N/A</v>
      </c>
      <c r="E61" s="874" t="e">
        <f>HLOOKUP(E60,'Equipment and SOO'!$E$78:$H$82,E21+2,FALSE)</f>
        <v>#N/A</v>
      </c>
      <c r="F61" s="874" t="e">
        <f>HLOOKUP(F60,'Equipment and SOO'!$E$78:$H$82,F21+2,FALSE)</f>
        <v>#N/A</v>
      </c>
      <c r="G61" s="874" t="e">
        <f>HLOOKUP(G60,'Equipment and SOO'!$E$78:$H$82,G21+2,FALSE)</f>
        <v>#N/A</v>
      </c>
      <c r="H61" s="874" t="e">
        <f>HLOOKUP(H60,'Equipment and SOO'!$E$78:$H$82,H21+2,FALSE)</f>
        <v>#N/A</v>
      </c>
      <c r="I61" s="477"/>
      <c r="J61" s="874" t="e">
        <f>SUMPRODUCT(D61:H61,D49:H49)</f>
        <v>#N/A</v>
      </c>
      <c r="K61" s="475" t="s">
        <v>724</v>
      </c>
      <c r="L61" s="483" t="s">
        <v>742</v>
      </c>
      <c r="S61" s="335"/>
    </row>
    <row r="62" spans="2:19" s="147" customFormat="1">
      <c r="B62" s="870"/>
      <c r="C62" s="871" t="s">
        <v>743</v>
      </c>
      <c r="D62" s="874" t="e">
        <f>VLOOKUP(D21,'Equipment and SOO'!$C$79:$F$83,2,FALSE)*D22</f>
        <v>#N/A</v>
      </c>
      <c r="E62" s="874" t="e">
        <f>VLOOKUP(E21,'Equipment and SOO'!$C$79:$F$83,2,FALSE)*E22</f>
        <v>#N/A</v>
      </c>
      <c r="F62" s="874" t="e">
        <f>VLOOKUP(F21,'Equipment and SOO'!$C$79:$F$83,2,FALSE)*F22</f>
        <v>#N/A</v>
      </c>
      <c r="G62" s="874" t="e">
        <f>VLOOKUP(G21,'Equipment and SOO'!$C$79:$F$83,2,FALSE)*G22</f>
        <v>#N/A</v>
      </c>
      <c r="H62" s="874" t="e">
        <f>VLOOKUP(H21,'Equipment and SOO'!$C$79:$F$83,2,FALSE)*H22</f>
        <v>#N/A</v>
      </c>
      <c r="I62" s="872"/>
      <c r="J62" s="877" t="e">
        <f>SUMPRODUCT(D62:H62,D49:H49)</f>
        <v>#N/A</v>
      </c>
      <c r="K62" s="873" t="s">
        <v>724</v>
      </c>
      <c r="L62" s="511"/>
      <c r="S62" s="335"/>
    </row>
    <row r="63" spans="2:19" s="147" customFormat="1">
      <c r="B63" s="485"/>
      <c r="C63" s="486" t="s">
        <v>744</v>
      </c>
      <c r="D63" s="876" t="e">
        <f>VLOOKUP(D21,'Equipment and SOO'!$C$79:$F$83,2,FALSE)</f>
        <v>#N/A</v>
      </c>
      <c r="E63" s="876" t="e">
        <f>VLOOKUP(E21,'Equipment and SOO'!$C$79:$F$83,2,FALSE)</f>
        <v>#N/A</v>
      </c>
      <c r="F63" s="876" t="e">
        <f>VLOOKUP(F21,'Equipment and SOO'!$C$79:$F$83,2,FALSE)</f>
        <v>#N/A</v>
      </c>
      <c r="G63" s="876" t="e">
        <f>VLOOKUP(G21,'Equipment and SOO'!$C$79:$F$83,2,FALSE)</f>
        <v>#N/A</v>
      </c>
      <c r="H63" s="876" t="e">
        <f>VLOOKUP(H21,'Equipment and SOO'!$C$79:$F$83,2,FALSE)</f>
        <v>#N/A</v>
      </c>
      <c r="I63" s="487"/>
      <c r="J63" s="878" t="e">
        <f>SUMPRODUCT(D63:H63,D49:H49)</f>
        <v>#N/A</v>
      </c>
      <c r="K63" s="488" t="s">
        <v>724</v>
      </c>
      <c r="L63" s="489"/>
      <c r="S63" s="335"/>
    </row>
    <row r="64" spans="2:19" s="147" customFormat="1">
      <c r="C64" s="163"/>
      <c r="I64" s="95"/>
      <c r="Q64" s="335"/>
    </row>
    <row r="65" spans="1:20" s="147" customFormat="1" ht="26.1">
      <c r="A65" s="150" t="s">
        <v>745</v>
      </c>
      <c r="C65" s="314"/>
      <c r="D65" s="147" t="s">
        <v>746</v>
      </c>
      <c r="E65" s="314"/>
      <c r="H65" s="323"/>
      <c r="I65" s="315"/>
      <c r="J65" s="315"/>
      <c r="K65" s="315"/>
      <c r="L65" s="315"/>
      <c r="M65" s="315"/>
      <c r="S65" s="335"/>
      <c r="T65" s="328"/>
    </row>
    <row r="66" spans="1:20" s="147" customFormat="1" ht="49.5" customHeight="1">
      <c r="A66" s="150"/>
      <c r="B66" s="1798" t="s">
        <v>747</v>
      </c>
      <c r="C66" s="1798"/>
      <c r="D66" s="1798"/>
      <c r="E66" s="1798"/>
      <c r="F66" s="1798"/>
      <c r="G66" s="1798"/>
      <c r="H66" s="1798"/>
      <c r="I66" s="1798"/>
      <c r="J66" s="1798"/>
      <c r="K66" s="1798"/>
      <c r="L66" s="1798"/>
      <c r="M66" s="315"/>
      <c r="S66" s="335"/>
      <c r="T66" s="328"/>
    </row>
    <row r="67" spans="1:20" s="147" customFormat="1">
      <c r="B67" s="445" t="s">
        <v>172</v>
      </c>
      <c r="C67" s="469"/>
      <c r="D67" s="527" t="s">
        <v>306</v>
      </c>
      <c r="E67" s="527" t="s">
        <v>307</v>
      </c>
      <c r="F67" s="527" t="s">
        <v>308</v>
      </c>
      <c r="G67" s="527" t="s">
        <v>309</v>
      </c>
      <c r="H67" s="527" t="s">
        <v>310</v>
      </c>
      <c r="I67" s="527" t="s">
        <v>748</v>
      </c>
      <c r="J67" s="1801" t="s">
        <v>547</v>
      </c>
      <c r="K67" s="1802"/>
      <c r="L67" s="1802"/>
    </row>
    <row r="68" spans="1:20" s="147" customFormat="1">
      <c r="B68" s="519" t="s">
        <v>749</v>
      </c>
      <c r="C68" s="490" t="s">
        <v>750</v>
      </c>
      <c r="D68" s="502" t="str">
        <f>VLOOKUP(D27,'Equipment and SOO'!$E$6:$J$30,6,FALSE)</f>
        <v>eq0</v>
      </c>
      <c r="E68" s="502" t="str">
        <f>VLOOKUP(E27,'Equipment and SOO'!$E$6:$J$30,6,FALSE)</f>
        <v>eq0</v>
      </c>
      <c r="F68" s="502" t="str">
        <f>VLOOKUP(F27,'Equipment and SOO'!$E$6:$J$30,6,FALSE)</f>
        <v>eq0</v>
      </c>
      <c r="G68" s="502" t="str">
        <f>VLOOKUP(G27,'Equipment and SOO'!$E$6:$J$30,6,FALSE)</f>
        <v>eq0</v>
      </c>
      <c r="H68" s="502" t="str">
        <f>VLOOKUP(H27,'Equipment and SOO'!$E$6:$J$30,6,FALSE)</f>
        <v>eq0</v>
      </c>
      <c r="J68" s="1799" t="s">
        <v>751</v>
      </c>
      <c r="K68" s="1800"/>
      <c r="L68" s="1800"/>
      <c r="Q68" s="335"/>
    </row>
    <row r="69" spans="1:20" s="147" customFormat="1">
      <c r="B69" s="484"/>
      <c r="C69" s="474" t="s">
        <v>752</v>
      </c>
      <c r="D69" s="502" t="str">
        <f>VLOOKUP(D24,'Equipment and SOO'!$E$6:$J$30,6,FALSE)</f>
        <v>eq0</v>
      </c>
      <c r="E69" s="502" t="str">
        <f>VLOOKUP(E24,'Equipment and SOO'!$E$6:$J$30,6,FALSE)</f>
        <v>eq0</v>
      </c>
      <c r="F69" s="502" t="str">
        <f>VLOOKUP(F24,'Equipment and SOO'!$E$6:$J$30,6,FALSE)</f>
        <v>eq0</v>
      </c>
      <c r="G69" s="502" t="str">
        <f>VLOOKUP(G24,'Equipment and SOO'!$E$6:$J$30,6,FALSE)</f>
        <v>eq0</v>
      </c>
      <c r="H69" s="502" t="str">
        <f>VLOOKUP(H24,'Equipment and SOO'!$E$6:$J$30,6,FALSE)</f>
        <v>eq0</v>
      </c>
      <c r="J69" s="1799" t="s">
        <v>753</v>
      </c>
      <c r="K69" s="1800"/>
      <c r="L69" s="1800"/>
      <c r="Q69" s="335"/>
    </row>
    <row r="70" spans="1:20" s="147" customFormat="1">
      <c r="B70" s="484"/>
      <c r="C70" s="490" t="s">
        <v>754</v>
      </c>
      <c r="D70" s="864">
        <f>VLOOKUP(D26,'Equipment and SOO'!$E$6:$J$30,6,FALSE)</f>
        <v>0</v>
      </c>
      <c r="E70" s="864">
        <f>VLOOKUP(E26,'Equipment and SOO'!$E$6:$J$30,6,FALSE)</f>
        <v>0</v>
      </c>
      <c r="F70" s="864">
        <f>VLOOKUP(F26,'Equipment and SOO'!$E$6:$J$30,6,FALSE)</f>
        <v>0</v>
      </c>
      <c r="G70" s="864">
        <f>VLOOKUP(G26,'Equipment and SOO'!$E$6:$J$30,6,FALSE)</f>
        <v>0</v>
      </c>
      <c r="H70" s="864">
        <f>VLOOKUP(H26,'Equipment and SOO'!$E$6:$J$30,6,FALSE)</f>
        <v>0</v>
      </c>
      <c r="J70" s="498" t="s">
        <v>755</v>
      </c>
      <c r="Q70" s="335"/>
    </row>
    <row r="71" spans="1:20" s="147" customFormat="1">
      <c r="B71" s="485"/>
      <c r="C71" s="492" t="s">
        <v>756</v>
      </c>
      <c r="D71" s="1045">
        <f>VLOOKUP(D30,'Equipment and SOO'!$E$6:$J$30,6,FALSE)</f>
        <v>0</v>
      </c>
      <c r="E71" s="1045">
        <f>VLOOKUP(E30,'Equipment and SOO'!$E$6:$J$30,6,FALSE)</f>
        <v>0</v>
      </c>
      <c r="F71" s="1045">
        <f>VLOOKUP(F30,'Equipment and SOO'!$E$6:$J$30,6,FALSE)</f>
        <v>0</v>
      </c>
      <c r="G71" s="1045">
        <f>VLOOKUP(G30,'Equipment and SOO'!$E$6:$J$30,6,FALSE)</f>
        <v>0</v>
      </c>
      <c r="H71" s="1045">
        <f>VLOOKUP(H30,'Equipment and SOO'!$E$6:$J$30,6,FALSE)</f>
        <v>0</v>
      </c>
      <c r="I71" s="499"/>
      <c r="J71" s="498" t="s">
        <v>755</v>
      </c>
      <c r="Q71" s="335"/>
    </row>
    <row r="72" spans="1:20" s="147" customFormat="1">
      <c r="A72" s="147">
        <v>2</v>
      </c>
      <c r="B72" s="885" t="s">
        <v>757</v>
      </c>
      <c r="C72" s="512" t="s">
        <v>342</v>
      </c>
      <c r="D72" s="1244" t="e">
        <f>(HLOOKUP(D$69,'Equipment and SOO'!$C$47:$G$57,$A72,FALSE)+HLOOKUP(D$68,'Equipment and SOO'!$C$47:$G$57,$A72,FALSE))/(HLOOKUP(D$69,'Equipment and SOO'!$C$47:$G$57,11,FALSE)+HLOOKUP(D$68,'Equipment and SOO'!$C$47:$G$57,11,FALSE))</f>
        <v>#DIV/0!</v>
      </c>
      <c r="E72" s="1244" t="e">
        <f>(HLOOKUP(E$69,'Equipment and SOO'!$C$47:$G$57,$A72,FALSE)+HLOOKUP(E$68,'Equipment and SOO'!$C$47:$G$57,$A72,FALSE))/(HLOOKUP(E$69,'Equipment and SOO'!$C$47:$G$57,11,FALSE)+HLOOKUP(E$68,'Equipment and SOO'!$C$47:$G$57,11,FALSE))</f>
        <v>#DIV/0!</v>
      </c>
      <c r="F72" s="1244" t="e">
        <f>(HLOOKUP(F$69,'Equipment and SOO'!$C$47:$G$57,$A72,FALSE)+HLOOKUP(F$68,'Equipment and SOO'!$C$47:$G$57,$A72,FALSE))/(HLOOKUP(F$69,'Equipment and SOO'!$C$47:$G$57,11,FALSE)+HLOOKUP(F$68,'Equipment and SOO'!$C$47:$G$57,11,FALSE))</f>
        <v>#DIV/0!</v>
      </c>
      <c r="G72" s="1244" t="e">
        <f>(HLOOKUP(G$69,'Equipment and SOO'!$C$47:$G$57,$A72,FALSE)+HLOOKUP(G$68,'Equipment and SOO'!$C$47:$G$57,$A72,FALSE))/(HLOOKUP(G$69,'Equipment and SOO'!$C$47:$G$57,11,FALSE)+HLOOKUP(G$68,'Equipment and SOO'!$C$47:$G$57,11,FALSE))</f>
        <v>#DIV/0!</v>
      </c>
      <c r="H72" s="1244" t="e">
        <f>(HLOOKUP(H$69,'Equipment and SOO'!$C$47:$G$57,$A72,FALSE)+HLOOKUP(H$68,'Equipment and SOO'!$C$47:$G$57,$A72,FALSE))/(HLOOKUP(H$69,'Equipment and SOO'!$C$47:$G$57,11,FALSE)+HLOOKUP(H$68,'Equipment and SOO'!$C$47:$G$57,11,FALSE))</f>
        <v>#DIV/0!</v>
      </c>
      <c r="I72" s="529" t="e">
        <f t="shared" ref="I72:I98" si="13">SUM(D72:H72)</f>
        <v>#DIV/0!</v>
      </c>
      <c r="J72" s="764"/>
      <c r="K72" s="167"/>
    </row>
    <row r="73" spans="1:20" s="147" customFormat="1">
      <c r="A73" s="147">
        <v>3</v>
      </c>
      <c r="B73" s="506"/>
      <c r="C73" s="513" t="s">
        <v>345</v>
      </c>
      <c r="D73" s="1245" t="e">
        <f>(HLOOKUP(D$69,'Equipment and SOO'!$C$47:$G$57,$A73,FALSE)+HLOOKUP(D$68,'Equipment and SOO'!$C$47:$G$57,$A73,FALSE))/(HLOOKUP(D$69,'Equipment and SOO'!$C$47:$G$57,11,FALSE)+HLOOKUP(D$68,'Equipment and SOO'!$C$47:$G$57,11,FALSE))</f>
        <v>#DIV/0!</v>
      </c>
      <c r="E73" s="1245" t="e">
        <f>(HLOOKUP(E$69,'Equipment and SOO'!$C$47:$G$57,$A73,FALSE)+HLOOKUP(E$68,'Equipment and SOO'!$C$47:$G$57,$A73,FALSE))/(HLOOKUP(E$69,'Equipment and SOO'!$C$47:$G$57,11,FALSE)+HLOOKUP(E$68,'Equipment and SOO'!$C$47:$G$57,11,FALSE))</f>
        <v>#DIV/0!</v>
      </c>
      <c r="F73" s="1245" t="e">
        <f>(HLOOKUP(F$69,'Equipment and SOO'!$C$47:$G$57,$A73,FALSE)+HLOOKUP(F$68,'Equipment and SOO'!$C$47:$G$57,$A73,FALSE))/(HLOOKUP(F$69,'Equipment and SOO'!$C$47:$G$57,11,FALSE)+HLOOKUP(F$68,'Equipment and SOO'!$C$47:$G$57,11,FALSE))</f>
        <v>#DIV/0!</v>
      </c>
      <c r="G73" s="1245" t="e">
        <f>(HLOOKUP(G$69,'Equipment and SOO'!$C$47:$G$57,$A73,FALSE)+HLOOKUP(G$68,'Equipment and SOO'!$C$47:$G$57,$A73,FALSE))/(HLOOKUP(G$69,'Equipment and SOO'!$C$47:$G$57,11,FALSE)+HLOOKUP(G$68,'Equipment and SOO'!$C$47:$G$57,11,FALSE))</f>
        <v>#DIV/0!</v>
      </c>
      <c r="H73" s="1245" t="e">
        <f>(HLOOKUP(H$69,'Equipment and SOO'!$C$47:$G$57,$A73,FALSE)+HLOOKUP(H$68,'Equipment and SOO'!$C$47:$G$57,$A73,FALSE))/(HLOOKUP(H$69,'Equipment and SOO'!$C$47:$G$57,11,FALSE)+HLOOKUP(H$68,'Equipment and SOO'!$C$47:$G$57,11,FALSE))</f>
        <v>#DIV/0!</v>
      </c>
      <c r="I73" s="529" t="e">
        <f t="shared" si="13"/>
        <v>#DIV/0!</v>
      </c>
      <c r="J73" s="764"/>
      <c r="K73" s="335"/>
    </row>
    <row r="74" spans="1:20" s="147" customFormat="1">
      <c r="A74" s="147">
        <v>4</v>
      </c>
      <c r="B74" s="506"/>
      <c r="C74" s="513" t="s">
        <v>160</v>
      </c>
      <c r="D74" s="1245" t="e">
        <f>(HLOOKUP(D$69,'Equipment and SOO'!$C$47:$G$57,$A74,FALSE)+HLOOKUP(D$68,'Equipment and SOO'!$C$47:$G$57,$A74,FALSE))/(HLOOKUP(D$69,'Equipment and SOO'!$C$47:$G$57,11,FALSE)+HLOOKUP(D$68,'Equipment and SOO'!$C$47:$G$57,11,FALSE))</f>
        <v>#DIV/0!</v>
      </c>
      <c r="E74" s="1245" t="e">
        <f>(HLOOKUP(E$69,'Equipment and SOO'!$C$47:$G$57,$A74,FALSE)+HLOOKUP(E$68,'Equipment and SOO'!$C$47:$G$57,$A74,FALSE))/(HLOOKUP(E$69,'Equipment and SOO'!$C$47:$G$57,11,FALSE)+HLOOKUP(E$68,'Equipment and SOO'!$C$47:$G$57,11,FALSE))</f>
        <v>#DIV/0!</v>
      </c>
      <c r="F74" s="1245" t="e">
        <f>(HLOOKUP(F$69,'Equipment and SOO'!$C$47:$G$57,$A74,FALSE)+HLOOKUP(F$68,'Equipment and SOO'!$C$47:$G$57,$A74,FALSE))/(HLOOKUP(F$69,'Equipment and SOO'!$C$47:$G$57,11,FALSE)+HLOOKUP(F$68,'Equipment and SOO'!$C$47:$G$57,11,FALSE))</f>
        <v>#DIV/0!</v>
      </c>
      <c r="G74" s="1245" t="e">
        <f>(HLOOKUP(G$69,'Equipment and SOO'!$C$47:$G$57,$A74,FALSE)+HLOOKUP(G$68,'Equipment and SOO'!$C$47:$G$57,$A74,FALSE))/(HLOOKUP(G$69,'Equipment and SOO'!$C$47:$G$57,11,FALSE)+HLOOKUP(G$68,'Equipment and SOO'!$C$47:$G$57,11,FALSE))</f>
        <v>#DIV/0!</v>
      </c>
      <c r="H74" s="1245" t="e">
        <f>(HLOOKUP(H$69,'Equipment and SOO'!$C$47:$G$57,$A74,FALSE)+HLOOKUP(H$68,'Equipment and SOO'!$C$47:$G$57,$A74,FALSE))/(HLOOKUP(H$69,'Equipment and SOO'!$C$47:$G$57,11,FALSE)+HLOOKUP(H$68,'Equipment and SOO'!$C$47:$G$57,11,FALSE))</f>
        <v>#DIV/0!</v>
      </c>
      <c r="I74" s="529" t="e">
        <f t="shared" si="13"/>
        <v>#DIV/0!</v>
      </c>
      <c r="J74" s="764"/>
      <c r="K74" s="335"/>
    </row>
    <row r="75" spans="1:20" s="147" customFormat="1">
      <c r="A75" s="147">
        <v>5</v>
      </c>
      <c r="B75" s="506"/>
      <c r="C75" s="513" t="s">
        <v>175</v>
      </c>
      <c r="D75" s="1245" t="e">
        <f>(HLOOKUP(D$69,'Equipment and SOO'!$C$47:$G$57,$A75,FALSE)+HLOOKUP(D$68,'Equipment and SOO'!$C$47:$G$57,$A75,FALSE))/(HLOOKUP(D$69,'Equipment and SOO'!$C$47:$G$57,11,FALSE)+HLOOKUP(D$68,'Equipment and SOO'!$C$47:$G$57,11,FALSE))</f>
        <v>#DIV/0!</v>
      </c>
      <c r="E75" s="1245" t="e">
        <f>(HLOOKUP(E$69,'Equipment and SOO'!$C$47:$G$57,$A75,FALSE)+HLOOKUP(E$68,'Equipment and SOO'!$C$47:$G$57,$A75,FALSE))/(HLOOKUP(E$69,'Equipment and SOO'!$C$47:$G$57,11,FALSE)+HLOOKUP(E$68,'Equipment and SOO'!$C$47:$G$57,11,FALSE))</f>
        <v>#DIV/0!</v>
      </c>
      <c r="F75" s="1245" t="e">
        <f>(HLOOKUP(F$69,'Equipment and SOO'!$C$47:$G$57,$A75,FALSE)+HLOOKUP(F$68,'Equipment and SOO'!$C$47:$G$57,$A75,FALSE))/(HLOOKUP(F$69,'Equipment and SOO'!$C$47:$G$57,11,FALSE)+HLOOKUP(F$68,'Equipment and SOO'!$C$47:$G$57,11,FALSE))</f>
        <v>#DIV/0!</v>
      </c>
      <c r="G75" s="1245" t="e">
        <f>(HLOOKUP(G$69,'Equipment and SOO'!$C$47:$G$57,$A75,FALSE)+HLOOKUP(G$68,'Equipment and SOO'!$C$47:$G$57,$A75,FALSE))/(HLOOKUP(G$69,'Equipment and SOO'!$C$47:$G$57,11,FALSE)+HLOOKUP(G$68,'Equipment and SOO'!$C$47:$G$57,11,FALSE))</f>
        <v>#DIV/0!</v>
      </c>
      <c r="H75" s="1245" t="e">
        <f>(HLOOKUP(H$69,'Equipment and SOO'!$C$47:$G$57,$A75,FALSE)+HLOOKUP(H$68,'Equipment and SOO'!$C$47:$G$57,$A75,FALSE))/(HLOOKUP(H$69,'Equipment and SOO'!$C$47:$G$57,11,FALSE)+HLOOKUP(H$68,'Equipment and SOO'!$C$47:$G$57,11,FALSE))</f>
        <v>#DIV/0!</v>
      </c>
      <c r="I75" s="529" t="e">
        <f t="shared" si="13"/>
        <v>#DIV/0!</v>
      </c>
      <c r="J75" s="764"/>
      <c r="K75" s="335"/>
    </row>
    <row r="76" spans="1:20" s="147" customFormat="1">
      <c r="A76" s="147">
        <v>6</v>
      </c>
      <c r="B76" s="506"/>
      <c r="C76" s="513" t="s">
        <v>151</v>
      </c>
      <c r="D76" s="1245" t="e">
        <f>(HLOOKUP(D$69,'Equipment and SOO'!$C$47:$G$57,$A76,FALSE)+HLOOKUP(D$68,'Equipment and SOO'!$C$47:$G$57,$A76,FALSE))/(HLOOKUP(D$69,'Equipment and SOO'!$C$47:$G$57,11,FALSE)+HLOOKUP(D$68,'Equipment and SOO'!$C$47:$G$57,11,FALSE))</f>
        <v>#DIV/0!</v>
      </c>
      <c r="E76" s="1245" t="e">
        <f>(HLOOKUP(E$69,'Equipment and SOO'!$C$47:$G$57,$A76,FALSE)+HLOOKUP(E$68,'Equipment and SOO'!$C$47:$G$57,$A76,FALSE))/(HLOOKUP(E$69,'Equipment and SOO'!$C$47:$G$57,11,FALSE)+HLOOKUP(E$68,'Equipment and SOO'!$C$47:$G$57,11,FALSE))</f>
        <v>#DIV/0!</v>
      </c>
      <c r="F76" s="1245" t="e">
        <f>(HLOOKUP(F$69,'Equipment and SOO'!$C$47:$G$57,$A76,FALSE)+HLOOKUP(F$68,'Equipment and SOO'!$C$47:$G$57,$A76,FALSE))/(HLOOKUP(F$69,'Equipment and SOO'!$C$47:$G$57,11,FALSE)+HLOOKUP(F$68,'Equipment and SOO'!$C$47:$G$57,11,FALSE))</f>
        <v>#DIV/0!</v>
      </c>
      <c r="G76" s="1245" t="e">
        <f>(HLOOKUP(G$69,'Equipment and SOO'!$C$47:$G$57,$A76,FALSE)+HLOOKUP(G$68,'Equipment and SOO'!$C$47:$G$57,$A76,FALSE))/(HLOOKUP(G$69,'Equipment and SOO'!$C$47:$G$57,11,FALSE)+HLOOKUP(G$68,'Equipment and SOO'!$C$47:$G$57,11,FALSE))</f>
        <v>#DIV/0!</v>
      </c>
      <c r="H76" s="1245" t="e">
        <f>(HLOOKUP(H$69,'Equipment and SOO'!$C$47:$G$57,$A76,FALSE)+HLOOKUP(H$68,'Equipment and SOO'!$C$47:$G$57,$A76,FALSE))/(HLOOKUP(H$69,'Equipment and SOO'!$C$47:$G$57,11,FALSE)+HLOOKUP(H$68,'Equipment and SOO'!$C$47:$G$57,11,FALSE))</f>
        <v>#DIV/0!</v>
      </c>
      <c r="I76" s="529" t="e">
        <f t="shared" si="13"/>
        <v>#DIV/0!</v>
      </c>
      <c r="J76" s="764"/>
      <c r="K76" s="335"/>
    </row>
    <row r="77" spans="1:20" s="147" customFormat="1">
      <c r="A77" s="147">
        <v>7</v>
      </c>
      <c r="B77" s="506"/>
      <c r="C77" s="513" t="s">
        <v>349</v>
      </c>
      <c r="D77" s="1245" t="e">
        <f>(HLOOKUP(D$69,'Equipment and SOO'!$C$47:$G$57,$A77,FALSE)+HLOOKUP(D$68,'Equipment and SOO'!$C$47:$G$57,$A77,FALSE))/(HLOOKUP(D$69,'Equipment and SOO'!$C$47:$G$57,11,FALSE)+HLOOKUP(D$68,'Equipment and SOO'!$C$47:$G$57,11,FALSE))</f>
        <v>#DIV/0!</v>
      </c>
      <c r="E77" s="1245" t="e">
        <f>(HLOOKUP(E$69,'Equipment and SOO'!$C$47:$G$57,$A77,FALSE)+HLOOKUP(E$68,'Equipment and SOO'!$C$47:$G$57,$A77,FALSE))/(HLOOKUP(E$69,'Equipment and SOO'!$C$47:$G$57,11,FALSE)+HLOOKUP(E$68,'Equipment and SOO'!$C$47:$G$57,11,FALSE))</f>
        <v>#DIV/0!</v>
      </c>
      <c r="F77" s="1245" t="e">
        <f>(HLOOKUP(F$69,'Equipment and SOO'!$C$47:$G$57,$A77,FALSE)+HLOOKUP(F$68,'Equipment and SOO'!$C$47:$G$57,$A77,FALSE))/(HLOOKUP(F$69,'Equipment and SOO'!$C$47:$G$57,11,FALSE)+HLOOKUP(F$68,'Equipment and SOO'!$C$47:$G$57,11,FALSE))</f>
        <v>#DIV/0!</v>
      </c>
      <c r="G77" s="1245" t="e">
        <f>(HLOOKUP(G$69,'Equipment and SOO'!$C$47:$G$57,$A77,FALSE)+HLOOKUP(G$68,'Equipment and SOO'!$C$47:$G$57,$A77,FALSE))/(HLOOKUP(G$69,'Equipment and SOO'!$C$47:$G$57,11,FALSE)+HLOOKUP(G$68,'Equipment and SOO'!$C$47:$G$57,11,FALSE))</f>
        <v>#DIV/0!</v>
      </c>
      <c r="H77" s="1245" t="e">
        <f>(HLOOKUP(H$69,'Equipment and SOO'!$C$47:$G$57,$A77,FALSE)+HLOOKUP(H$68,'Equipment and SOO'!$C$47:$G$57,$A77,FALSE))/(HLOOKUP(H$69,'Equipment and SOO'!$C$47:$G$57,11,FALSE)+HLOOKUP(H$68,'Equipment and SOO'!$C$47:$G$57,11,FALSE))</f>
        <v>#DIV/0!</v>
      </c>
      <c r="I77" s="529" t="e">
        <f t="shared" si="13"/>
        <v>#DIV/0!</v>
      </c>
      <c r="J77" s="764"/>
      <c r="K77" s="335"/>
    </row>
    <row r="78" spans="1:20" s="147" customFormat="1" ht="29.1">
      <c r="A78" s="147">
        <v>8</v>
      </c>
      <c r="B78" s="506"/>
      <c r="C78" s="513" t="s">
        <v>177</v>
      </c>
      <c r="D78" s="1245" t="e">
        <f>(HLOOKUP(D$69,'Equipment and SOO'!$C$47:$G$57,$A78,FALSE)+HLOOKUP(D$68,'Equipment and SOO'!$C$47:$G$57,$A78,FALSE))/(HLOOKUP(D$69,'Equipment and SOO'!$C$47:$G$57,11,FALSE)+HLOOKUP(D$68,'Equipment and SOO'!$C$47:$G$57,11,FALSE))</f>
        <v>#DIV/0!</v>
      </c>
      <c r="E78" s="1245" t="e">
        <f>(HLOOKUP(E$69,'Equipment and SOO'!$C$47:$G$57,$A78,FALSE)+HLOOKUP(E$68,'Equipment and SOO'!$C$47:$G$57,$A78,FALSE))/(HLOOKUP(E$69,'Equipment and SOO'!$C$47:$G$57,11,FALSE)+HLOOKUP(E$68,'Equipment and SOO'!$C$47:$G$57,11,FALSE))</f>
        <v>#DIV/0!</v>
      </c>
      <c r="F78" s="1245" t="e">
        <f>(HLOOKUP(F$69,'Equipment and SOO'!$C$47:$G$57,$A78,FALSE)+HLOOKUP(F$68,'Equipment and SOO'!$C$47:$G$57,$A78,FALSE))/(HLOOKUP(F$69,'Equipment and SOO'!$C$47:$G$57,11,FALSE)+HLOOKUP(F$68,'Equipment and SOO'!$C$47:$G$57,11,FALSE))</f>
        <v>#DIV/0!</v>
      </c>
      <c r="G78" s="1245" t="e">
        <f>(HLOOKUP(G$69,'Equipment and SOO'!$C$47:$G$57,$A78,FALSE)+HLOOKUP(G$68,'Equipment and SOO'!$C$47:$G$57,$A78,FALSE))/(HLOOKUP(G$69,'Equipment and SOO'!$C$47:$G$57,11,FALSE)+HLOOKUP(G$68,'Equipment and SOO'!$C$47:$G$57,11,FALSE))</f>
        <v>#DIV/0!</v>
      </c>
      <c r="H78" s="1245" t="e">
        <f>(HLOOKUP(H$69,'Equipment and SOO'!$C$47:$G$57,$A78,FALSE)+HLOOKUP(H$68,'Equipment and SOO'!$C$47:$G$57,$A78,FALSE))/(HLOOKUP(H$69,'Equipment and SOO'!$C$47:$G$57,11,FALSE)+HLOOKUP(H$68,'Equipment and SOO'!$C$47:$G$57,11,FALSE))</f>
        <v>#DIV/0!</v>
      </c>
      <c r="I78" s="529" t="e">
        <f t="shared" si="13"/>
        <v>#DIV/0!</v>
      </c>
      <c r="J78" s="764"/>
      <c r="K78" s="335"/>
    </row>
    <row r="79" spans="1:20" s="147" customFormat="1" ht="29.1">
      <c r="A79" s="147">
        <v>9</v>
      </c>
      <c r="B79" s="506"/>
      <c r="C79" s="513" t="s">
        <v>352</v>
      </c>
      <c r="D79" s="1245" t="e">
        <f>(HLOOKUP(D$69,'Equipment and SOO'!$C$47:$G$57,$A79,FALSE)+HLOOKUP(D$68,'Equipment and SOO'!$C$47:$G$57,$A79,FALSE))/(HLOOKUP(D$69,'Equipment and SOO'!$C$47:$G$57,11,FALSE)+HLOOKUP(D$68,'Equipment and SOO'!$C$47:$G$57,11,FALSE))</f>
        <v>#DIV/0!</v>
      </c>
      <c r="E79" s="1245" t="e">
        <f>(HLOOKUP(E$69,'Equipment and SOO'!$C$47:$G$57,$A79,FALSE)+HLOOKUP(E$68,'Equipment and SOO'!$C$47:$G$57,$A79,FALSE))/(HLOOKUP(E$69,'Equipment and SOO'!$C$47:$G$57,11,FALSE)+HLOOKUP(E$68,'Equipment and SOO'!$C$47:$G$57,11,FALSE))</f>
        <v>#DIV/0!</v>
      </c>
      <c r="F79" s="1245" t="e">
        <f>(HLOOKUP(F$69,'Equipment and SOO'!$C$47:$G$57,$A79,FALSE)+HLOOKUP(F$68,'Equipment and SOO'!$C$47:$G$57,$A79,FALSE))/(HLOOKUP(F$69,'Equipment and SOO'!$C$47:$G$57,11,FALSE)+HLOOKUP(F$68,'Equipment and SOO'!$C$47:$G$57,11,FALSE))</f>
        <v>#DIV/0!</v>
      </c>
      <c r="G79" s="1245" t="e">
        <f>(HLOOKUP(G$69,'Equipment and SOO'!$C$47:$G$57,$A79,FALSE)+HLOOKUP(G$68,'Equipment and SOO'!$C$47:$G$57,$A79,FALSE))/(HLOOKUP(G$69,'Equipment and SOO'!$C$47:$G$57,11,FALSE)+HLOOKUP(G$68,'Equipment and SOO'!$C$47:$G$57,11,FALSE))</f>
        <v>#DIV/0!</v>
      </c>
      <c r="H79" s="1245" t="e">
        <f>(HLOOKUP(H$69,'Equipment and SOO'!$C$47:$G$57,$A79,FALSE)+HLOOKUP(H$68,'Equipment and SOO'!$C$47:$G$57,$A79,FALSE))/(HLOOKUP(H$69,'Equipment and SOO'!$C$47:$G$57,11,FALSE)+HLOOKUP(H$68,'Equipment and SOO'!$C$47:$G$57,11,FALSE))</f>
        <v>#DIV/0!</v>
      </c>
      <c r="I79" s="529" t="e">
        <f t="shared" si="13"/>
        <v>#DIV/0!</v>
      </c>
      <c r="J79" s="764"/>
      <c r="K79" s="335"/>
    </row>
    <row r="80" spans="1:20" s="147" customFormat="1" ht="29.1">
      <c r="A80" s="147">
        <v>10</v>
      </c>
      <c r="B80" s="506"/>
      <c r="C80" s="513" t="s">
        <v>162</v>
      </c>
      <c r="D80" s="1245" t="e">
        <f>(HLOOKUP(D$69,'Equipment and SOO'!$C$47:$G$57,$A80,FALSE)+HLOOKUP(D$68,'Equipment and SOO'!$C$47:$G$57,$A80,FALSE))/(HLOOKUP(D$69,'Equipment and SOO'!$C$47:$G$57,11,FALSE)+HLOOKUP(D$68,'Equipment and SOO'!$C$47:$G$57,11,FALSE))</f>
        <v>#DIV/0!</v>
      </c>
      <c r="E80" s="1245" t="e">
        <f>(HLOOKUP(E$69,'Equipment and SOO'!$C$47:$G$57,$A80,FALSE)+HLOOKUP(E$68,'Equipment and SOO'!$C$47:$G$57,$A80,FALSE))/(HLOOKUP(E$69,'Equipment and SOO'!$C$47:$G$57,11,FALSE)+HLOOKUP(E$68,'Equipment and SOO'!$C$47:$G$57,11,FALSE))</f>
        <v>#DIV/0!</v>
      </c>
      <c r="F80" s="1245" t="e">
        <f>(HLOOKUP(F$69,'Equipment and SOO'!$C$47:$G$57,$A80,FALSE)+HLOOKUP(F$68,'Equipment and SOO'!$C$47:$G$57,$A80,FALSE))/(HLOOKUP(F$69,'Equipment and SOO'!$C$47:$G$57,11,FALSE)+HLOOKUP(F$68,'Equipment and SOO'!$C$47:$G$57,11,FALSE))</f>
        <v>#DIV/0!</v>
      </c>
      <c r="G80" s="1245" t="e">
        <f>(HLOOKUP(G$69,'Equipment and SOO'!$C$47:$G$57,$A80,FALSE)+HLOOKUP(G$68,'Equipment and SOO'!$C$47:$G$57,$A80,FALSE))/(HLOOKUP(G$69,'Equipment and SOO'!$C$47:$G$57,11,FALSE)+HLOOKUP(G$68,'Equipment and SOO'!$C$47:$G$57,11,FALSE))</f>
        <v>#DIV/0!</v>
      </c>
      <c r="H80" s="1245" t="e">
        <f>(HLOOKUP(H$69,'Equipment and SOO'!$C$47:$G$57,$A80,FALSE)+HLOOKUP(H$68,'Equipment and SOO'!$C$47:$G$57,$A80,FALSE))/(HLOOKUP(H$69,'Equipment and SOO'!$C$47:$G$57,11,FALSE)+HLOOKUP(H$68,'Equipment and SOO'!$C$47:$G$57,11,FALSE))</f>
        <v>#DIV/0!</v>
      </c>
      <c r="I80" s="529" t="e">
        <f t="shared" si="13"/>
        <v>#DIV/0!</v>
      </c>
      <c r="J80" s="764"/>
      <c r="K80" s="335"/>
      <c r="M80" s="1788" t="s">
        <v>758</v>
      </c>
    </row>
    <row r="81" spans="1:13" s="147" customFormat="1">
      <c r="A81" s="147">
        <v>2</v>
      </c>
      <c r="B81" s="886" t="s">
        <v>759</v>
      </c>
      <c r="C81" s="514" t="s">
        <v>342</v>
      </c>
      <c r="D81" s="1246" t="e">
        <f>D$70*'Equipment and SOO'!$H48/'Equipment and SOO'!$H$57*D$22*VLOOKUP(D$26,'Equipment and SOO'!$E$6:$Y$30,MATCH($C81,'Equipment and SOO'!$E$6:$Y$6,FALSE),FALSE)</f>
        <v>#DIV/0!</v>
      </c>
      <c r="E81" s="1246" t="e">
        <f>E$70*'Equipment and SOO'!$H48/'Equipment and SOO'!$H$57*E$22*VLOOKUP(E$26,'Equipment and SOO'!$E$6:$Y$30,MATCH($C81,'Equipment and SOO'!$E$6:$Y$6,FALSE),FALSE)</f>
        <v>#DIV/0!</v>
      </c>
      <c r="F81" s="1246" t="e">
        <f>F$70*'Equipment and SOO'!$H48/'Equipment and SOO'!$H$57*F$22*VLOOKUP(F$26,'Equipment and SOO'!$E$6:$Y$30,MATCH($C81,'Equipment and SOO'!$E$6:$Y$6,FALSE),FALSE)</f>
        <v>#DIV/0!</v>
      </c>
      <c r="G81" s="1246" t="e">
        <f>G$70*'Equipment and SOO'!$H48/'Equipment and SOO'!$H$57*G$22*VLOOKUP(G$26,'Equipment and SOO'!$E$6:$Y$30,MATCH($C81,'Equipment and SOO'!$E$6:$Y$6,FALSE),FALSE)</f>
        <v>#DIV/0!</v>
      </c>
      <c r="H81" s="1246" t="e">
        <f>H$70*'Equipment and SOO'!$H48/'Equipment and SOO'!$H$57*H$22*VLOOKUP(H$26,'Equipment and SOO'!$E$6:$Y$30,MATCH($C81,'Equipment and SOO'!$E$6:$Y$6,FALSE),FALSE)</f>
        <v>#DIV/0!</v>
      </c>
      <c r="I81" s="531" t="e">
        <f t="shared" si="13"/>
        <v>#DIV/0!</v>
      </c>
      <c r="J81" s="763"/>
      <c r="K81" s="335"/>
      <c r="M81" s="1788"/>
    </row>
    <row r="82" spans="1:13" s="147" customFormat="1">
      <c r="A82" s="147">
        <v>3</v>
      </c>
      <c r="B82" s="507"/>
      <c r="C82" s="515" t="s">
        <v>345</v>
      </c>
      <c r="D82" s="1246" t="e">
        <f>D$70*'Equipment and SOO'!$H49/'Equipment and SOO'!$H$57*D$22*VLOOKUP(D$26,'Equipment and SOO'!$E$6:$Y$30,MATCH($C36,'Equipment and SOO'!$E$6:$Y$6,FALSE),FALSE)</f>
        <v>#DIV/0!</v>
      </c>
      <c r="E82" s="1246" t="e">
        <f>E$70*'Equipment and SOO'!$H49/'Equipment and SOO'!$H$57*E$22*VLOOKUP(E$26,'Equipment and SOO'!$E$6:$Y$30,MATCH($C36,'Equipment and SOO'!$E$6:$Y$6,FALSE),FALSE)</f>
        <v>#DIV/0!</v>
      </c>
      <c r="F82" s="1246" t="e">
        <f>F$70*'Equipment and SOO'!$H49/'Equipment and SOO'!$H$57*F$22*VLOOKUP(F$26,'Equipment and SOO'!$E$6:$Y$30,MATCH($C36,'Equipment and SOO'!$E$6:$Y$6,FALSE),FALSE)</f>
        <v>#DIV/0!</v>
      </c>
      <c r="G82" s="1246" t="e">
        <f>G$70*'Equipment and SOO'!$H49/'Equipment and SOO'!$H$57*G$22*VLOOKUP(G$26,'Equipment and SOO'!$E$6:$Y$30,MATCH($C36,'Equipment and SOO'!$E$6:$Y$6,FALSE),FALSE)</f>
        <v>#DIV/0!</v>
      </c>
      <c r="H82" s="1246" t="e">
        <f>H$70*'Equipment and SOO'!$H49/'Equipment and SOO'!$H$57*H$22*VLOOKUP(H$26,'Equipment and SOO'!$E$6:$Y$30,MATCH($C36,'Equipment and SOO'!$E$6:$Y$6,FALSE),FALSE)</f>
        <v>#DIV/0!</v>
      </c>
      <c r="I82" s="531" t="e">
        <f t="shared" si="13"/>
        <v>#DIV/0!</v>
      </c>
      <c r="J82" s="763"/>
      <c r="K82" s="335"/>
      <c r="M82" s="1788"/>
    </row>
    <row r="83" spans="1:13" s="147" customFormat="1">
      <c r="A83" s="147">
        <v>4</v>
      </c>
      <c r="B83" s="507"/>
      <c r="C83" s="515" t="s">
        <v>160</v>
      </c>
      <c r="D83" s="1246" t="e">
        <f>D$70*'Equipment and SOO'!$H50/'Equipment and SOO'!$H$57*D$22*VLOOKUP(D$26,'Equipment and SOO'!$E$6:$Y$30,MATCH($C37,'Equipment and SOO'!$E$6:$Y$6,FALSE),FALSE)</f>
        <v>#DIV/0!</v>
      </c>
      <c r="E83" s="1246" t="e">
        <f>E$70*'Equipment and SOO'!$H50/'Equipment and SOO'!$H$57*E$22*VLOOKUP(E$26,'Equipment and SOO'!$E$6:$Y$30,MATCH($C37,'Equipment and SOO'!$E$6:$Y$6,FALSE),FALSE)</f>
        <v>#DIV/0!</v>
      </c>
      <c r="F83" s="1246" t="e">
        <f>F$70*'Equipment and SOO'!$H50/'Equipment and SOO'!$H$57*F$22*VLOOKUP(F$26,'Equipment and SOO'!$E$6:$Y$30,MATCH($C37,'Equipment and SOO'!$E$6:$Y$6,FALSE),FALSE)</f>
        <v>#DIV/0!</v>
      </c>
      <c r="G83" s="1246" t="e">
        <f>G$70*'Equipment and SOO'!$H50/'Equipment and SOO'!$H$57*G$22*VLOOKUP(G$26,'Equipment and SOO'!$E$6:$Y$30,MATCH($C37,'Equipment and SOO'!$E$6:$Y$6,FALSE),FALSE)</f>
        <v>#DIV/0!</v>
      </c>
      <c r="H83" s="1246" t="e">
        <f>H$70*'Equipment and SOO'!$H50/'Equipment and SOO'!$H$57*H$22*VLOOKUP(H$26,'Equipment and SOO'!$E$6:$Y$30,MATCH($C37,'Equipment and SOO'!$E$6:$Y$6,FALSE),FALSE)</f>
        <v>#DIV/0!</v>
      </c>
      <c r="I83" s="531" t="e">
        <f t="shared" si="13"/>
        <v>#DIV/0!</v>
      </c>
      <c r="J83" s="763"/>
      <c r="K83" s="335"/>
      <c r="M83" s="1788"/>
    </row>
    <row r="84" spans="1:13" s="147" customFormat="1">
      <c r="A84" s="147">
        <v>5</v>
      </c>
      <c r="B84" s="507"/>
      <c r="C84" s="515" t="s">
        <v>175</v>
      </c>
      <c r="D84" s="1246" t="e">
        <f>D$70*'Equipment and SOO'!$H51/'Equipment and SOO'!$H$57*D$22*VLOOKUP(D$26,'Equipment and SOO'!$E$6:$Y$30,MATCH($C38,'Equipment and SOO'!$E$6:$Y$6,FALSE),FALSE)</f>
        <v>#DIV/0!</v>
      </c>
      <c r="E84" s="1246" t="e">
        <f>E$70*'Equipment and SOO'!$H51/'Equipment and SOO'!$H$57*E$22*VLOOKUP(E$26,'Equipment and SOO'!$E$6:$Y$30,MATCH($C38,'Equipment and SOO'!$E$6:$Y$6,FALSE),FALSE)</f>
        <v>#DIV/0!</v>
      </c>
      <c r="F84" s="1246" t="e">
        <f>F$70*'Equipment and SOO'!$H51/'Equipment and SOO'!$H$57*F$22*VLOOKUP(F$26,'Equipment and SOO'!$E$6:$Y$30,MATCH($C38,'Equipment and SOO'!$E$6:$Y$6,FALSE),FALSE)</f>
        <v>#DIV/0!</v>
      </c>
      <c r="G84" s="1246" t="e">
        <f>G$70*'Equipment and SOO'!$H51/'Equipment and SOO'!$H$57*G$22*VLOOKUP(G$26,'Equipment and SOO'!$E$6:$Y$30,MATCH($C38,'Equipment and SOO'!$E$6:$Y$6,FALSE),FALSE)</f>
        <v>#DIV/0!</v>
      </c>
      <c r="H84" s="1246" t="e">
        <f>H$70*'Equipment and SOO'!$H51/'Equipment and SOO'!$H$57*H$22*VLOOKUP(H$26,'Equipment and SOO'!$E$6:$Y$30,MATCH($C38,'Equipment and SOO'!$E$6:$Y$6,FALSE),FALSE)</f>
        <v>#DIV/0!</v>
      </c>
      <c r="I84" s="531" t="e">
        <f t="shared" si="13"/>
        <v>#DIV/0!</v>
      </c>
      <c r="J84" s="763"/>
      <c r="K84" s="335"/>
      <c r="M84" s="1788"/>
    </row>
    <row r="85" spans="1:13" s="147" customFormat="1">
      <c r="A85" s="147">
        <v>6</v>
      </c>
      <c r="B85" s="507"/>
      <c r="C85" s="515" t="s">
        <v>151</v>
      </c>
      <c r="D85" s="1246" t="e">
        <f>D$70*'Equipment and SOO'!$H52/'Equipment and SOO'!$H$57*D$22*VLOOKUP(D$26,'Equipment and SOO'!$E$6:$Y$30,MATCH($C39,'Equipment and SOO'!$E$6:$Y$6,FALSE),FALSE)</f>
        <v>#DIV/0!</v>
      </c>
      <c r="E85" s="1246" t="e">
        <f>E$70*'Equipment and SOO'!$H52/'Equipment and SOO'!$H$57*E$22*VLOOKUP(E$26,'Equipment and SOO'!$E$6:$Y$30,MATCH($C39,'Equipment and SOO'!$E$6:$Y$6,FALSE),FALSE)</f>
        <v>#DIV/0!</v>
      </c>
      <c r="F85" s="1246" t="e">
        <f>F$70*'Equipment and SOO'!$H52/'Equipment and SOO'!$H$57*F$22*VLOOKUP(F$26,'Equipment and SOO'!$E$6:$Y$30,MATCH($C39,'Equipment and SOO'!$E$6:$Y$6,FALSE),FALSE)</f>
        <v>#DIV/0!</v>
      </c>
      <c r="G85" s="1246" t="e">
        <f>G$70*'Equipment and SOO'!$H52/'Equipment and SOO'!$H$57*G$22*VLOOKUP(G$26,'Equipment and SOO'!$E$6:$Y$30,MATCH($C39,'Equipment and SOO'!$E$6:$Y$6,FALSE),FALSE)</f>
        <v>#DIV/0!</v>
      </c>
      <c r="H85" s="1246" t="e">
        <f>H$70*'Equipment and SOO'!$H52/'Equipment and SOO'!$H$57*H$22*VLOOKUP(H$26,'Equipment and SOO'!$E$6:$Y$30,MATCH($C39,'Equipment and SOO'!$E$6:$Y$6,FALSE),FALSE)</f>
        <v>#DIV/0!</v>
      </c>
      <c r="I85" s="531" t="e">
        <f t="shared" si="13"/>
        <v>#DIV/0!</v>
      </c>
      <c r="J85" s="763"/>
      <c r="K85" s="335"/>
      <c r="M85" s="1788"/>
    </row>
    <row r="86" spans="1:13" s="147" customFormat="1">
      <c r="A86" s="147">
        <v>7</v>
      </c>
      <c r="B86" s="507"/>
      <c r="C86" s="515" t="s">
        <v>349</v>
      </c>
      <c r="D86" s="1246" t="e">
        <f>D$70*'Equipment and SOO'!$H53/'Equipment and SOO'!$H$57*D$22*VLOOKUP(D$26,'Equipment and SOO'!$E$6:$Y$30,MATCH($C40,'Equipment and SOO'!$E$6:$Y$6,FALSE),FALSE)</f>
        <v>#DIV/0!</v>
      </c>
      <c r="E86" s="1246" t="e">
        <f>E$70*'Equipment and SOO'!$H53/'Equipment and SOO'!$H$57*E$22*VLOOKUP(E$26,'Equipment and SOO'!$E$6:$Y$30,MATCH($C40,'Equipment and SOO'!$E$6:$Y$6,FALSE),FALSE)</f>
        <v>#DIV/0!</v>
      </c>
      <c r="F86" s="1246" t="e">
        <f>F$70*'Equipment and SOO'!$H53/'Equipment and SOO'!$H$57*F$22*VLOOKUP(F$26,'Equipment and SOO'!$E$6:$Y$30,MATCH($C40,'Equipment and SOO'!$E$6:$Y$6,FALSE),FALSE)</f>
        <v>#DIV/0!</v>
      </c>
      <c r="G86" s="1246" t="e">
        <f>G$70*'Equipment and SOO'!$H53/'Equipment and SOO'!$H$57*G$22*VLOOKUP(G$26,'Equipment and SOO'!$E$6:$Y$30,MATCH($C40,'Equipment and SOO'!$E$6:$Y$6,FALSE),FALSE)</f>
        <v>#DIV/0!</v>
      </c>
      <c r="H86" s="1246" t="e">
        <f>H$70*'Equipment and SOO'!$H53/'Equipment and SOO'!$H$57*H$22*VLOOKUP(H$26,'Equipment and SOO'!$E$6:$Y$30,MATCH($C40,'Equipment and SOO'!$E$6:$Y$6,FALSE),FALSE)</f>
        <v>#DIV/0!</v>
      </c>
      <c r="I86" s="531" t="e">
        <f t="shared" si="13"/>
        <v>#DIV/0!</v>
      </c>
      <c r="J86" s="763"/>
      <c r="K86" s="335"/>
      <c r="M86" s="1788"/>
    </row>
    <row r="87" spans="1:13" s="147" customFormat="1" ht="29.1">
      <c r="A87" s="147">
        <v>8</v>
      </c>
      <c r="B87" s="507"/>
      <c r="C87" s="515" t="s">
        <v>177</v>
      </c>
      <c r="D87" s="1246" t="e">
        <f>D$70*'Equipment and SOO'!$H54/'Equipment and SOO'!$H$57*D$22*VLOOKUP(D$26,'Equipment and SOO'!$E$6:$Y$30,MATCH($C41,'Equipment and SOO'!$E$6:$Y$6,FALSE),FALSE)</f>
        <v>#DIV/0!</v>
      </c>
      <c r="E87" s="1246" t="e">
        <f>E$70*'Equipment and SOO'!$H54/'Equipment and SOO'!$H$57*E$22*VLOOKUP(E$26,'Equipment and SOO'!$E$6:$Y$30,MATCH($C41,'Equipment and SOO'!$E$6:$Y$6,FALSE),FALSE)</f>
        <v>#DIV/0!</v>
      </c>
      <c r="F87" s="1246" t="e">
        <f>F$70*'Equipment and SOO'!$H54/'Equipment and SOO'!$H$57*F$22*VLOOKUP(F$26,'Equipment and SOO'!$E$6:$Y$30,MATCH($C41,'Equipment and SOO'!$E$6:$Y$6,FALSE),FALSE)</f>
        <v>#DIV/0!</v>
      </c>
      <c r="G87" s="1246" t="e">
        <f>G$70*'Equipment and SOO'!$H54/'Equipment and SOO'!$H$57*G$22*VLOOKUP(G$26,'Equipment and SOO'!$E$6:$Y$30,MATCH($C41,'Equipment and SOO'!$E$6:$Y$6,FALSE),FALSE)</f>
        <v>#DIV/0!</v>
      </c>
      <c r="H87" s="1246" t="e">
        <f>H$70*'Equipment and SOO'!$H54/'Equipment and SOO'!$H$57*H$22*VLOOKUP(H$26,'Equipment and SOO'!$E$6:$Y$30,MATCH($C41,'Equipment and SOO'!$E$6:$Y$6,FALSE),FALSE)</f>
        <v>#DIV/0!</v>
      </c>
      <c r="I87" s="531" t="e">
        <f t="shared" si="13"/>
        <v>#DIV/0!</v>
      </c>
      <c r="J87" s="763"/>
      <c r="K87" s="335"/>
      <c r="M87" s="1788"/>
    </row>
    <row r="88" spans="1:13" s="147" customFormat="1" ht="29.1">
      <c r="A88" s="147">
        <v>9</v>
      </c>
      <c r="B88" s="507"/>
      <c r="C88" s="515" t="s">
        <v>352</v>
      </c>
      <c r="D88" s="1246" t="e">
        <f>D$70*'Equipment and SOO'!$H55/'Equipment and SOO'!$H$57*D$22*VLOOKUP(D$26,'Equipment and SOO'!$E$6:$Y$30,MATCH($C42,'Equipment and SOO'!$E$6:$Y$6,FALSE),FALSE)</f>
        <v>#DIV/0!</v>
      </c>
      <c r="E88" s="1246" t="e">
        <f>E$70*'Equipment and SOO'!$H55/'Equipment and SOO'!$H$57*E$22*VLOOKUP(E$26,'Equipment and SOO'!$E$6:$Y$30,MATCH($C42,'Equipment and SOO'!$E$6:$Y$6,FALSE),FALSE)</f>
        <v>#DIV/0!</v>
      </c>
      <c r="F88" s="1246" t="e">
        <f>F$70*'Equipment and SOO'!$H55/'Equipment and SOO'!$H$57*F$22*VLOOKUP(F$26,'Equipment and SOO'!$E$6:$Y$30,MATCH($C42,'Equipment and SOO'!$E$6:$Y$6,FALSE),FALSE)</f>
        <v>#DIV/0!</v>
      </c>
      <c r="G88" s="1246" t="e">
        <f>G$70*'Equipment and SOO'!$H55/'Equipment and SOO'!$H$57*G$22*VLOOKUP(G$26,'Equipment and SOO'!$E$6:$Y$30,MATCH($C42,'Equipment and SOO'!$E$6:$Y$6,FALSE),FALSE)</f>
        <v>#DIV/0!</v>
      </c>
      <c r="H88" s="1246" t="e">
        <f>H$70*'Equipment and SOO'!$H55/'Equipment and SOO'!$H$57*H$22*VLOOKUP(H$26,'Equipment and SOO'!$E$6:$Y$30,MATCH($C42,'Equipment and SOO'!$E$6:$Y$6,FALSE),FALSE)</f>
        <v>#DIV/0!</v>
      </c>
      <c r="I88" s="531" t="e">
        <f t="shared" si="13"/>
        <v>#DIV/0!</v>
      </c>
      <c r="J88" s="763"/>
      <c r="K88" s="335"/>
      <c r="M88" s="1788"/>
    </row>
    <row r="89" spans="1:13" s="147" customFormat="1" ht="29.1">
      <c r="A89" s="147">
        <v>10</v>
      </c>
      <c r="B89" s="507"/>
      <c r="C89" s="515" t="s">
        <v>162</v>
      </c>
      <c r="D89" s="1246" t="e">
        <f>D$70*'Equipment and SOO'!$H56/'Equipment and SOO'!$H$57*D$22*VLOOKUP(D$26,'Equipment and SOO'!$E$6:$Y$30,MATCH($C43,'Equipment and SOO'!$E$6:$Y$6,FALSE),FALSE)</f>
        <v>#DIV/0!</v>
      </c>
      <c r="E89" s="1246" t="e">
        <f>E$70*'Equipment and SOO'!$H56/'Equipment and SOO'!$H$57*E$22*VLOOKUP(E$26,'Equipment and SOO'!$E$6:$Y$30,MATCH($C43,'Equipment and SOO'!$E$6:$Y$6,FALSE),FALSE)</f>
        <v>#DIV/0!</v>
      </c>
      <c r="F89" s="1246" t="e">
        <f>F$70*'Equipment and SOO'!$H56/'Equipment and SOO'!$H$57*F$22*VLOOKUP(F$26,'Equipment and SOO'!$E$6:$Y$30,MATCH($C43,'Equipment and SOO'!$E$6:$Y$6,FALSE),FALSE)</f>
        <v>#DIV/0!</v>
      </c>
      <c r="G89" s="1246" t="e">
        <f>G$70*'Equipment and SOO'!$H56/'Equipment and SOO'!$H$57*G$22*VLOOKUP(G$26,'Equipment and SOO'!$E$6:$Y$30,MATCH($C43,'Equipment and SOO'!$E$6:$Y$6,FALSE),FALSE)</f>
        <v>#DIV/0!</v>
      </c>
      <c r="H89" s="1246" t="e">
        <f>H$70*'Equipment and SOO'!$H56/'Equipment and SOO'!$H$57*H$22*VLOOKUP(H$26,'Equipment and SOO'!$E$6:$Y$30,MATCH($C43,'Equipment and SOO'!$E$6:$Y$6,FALSE),FALSE)</f>
        <v>#DIV/0!</v>
      </c>
      <c r="I89" s="531" t="e">
        <f t="shared" si="13"/>
        <v>#DIV/0!</v>
      </c>
      <c r="J89" s="763"/>
      <c r="K89" s="335"/>
      <c r="M89" s="1788"/>
    </row>
    <row r="90" spans="1:13" s="147" customFormat="1">
      <c r="A90" s="147">
        <v>2</v>
      </c>
      <c r="B90" s="887" t="s">
        <v>760</v>
      </c>
      <c r="C90" s="516" t="s">
        <v>342</v>
      </c>
      <c r="D90" s="1247" t="e">
        <f>(D$71*'Equipment and SOO'!$H48/'Equipment and SOO'!$H$57*VLOOKUP(D$30,'Equipment and SOO'!$E$6:$Y$30,MATCH($C35,'Equipment and SOO'!$E$6:$Y$6,FALSE),FALSE))+((1-D$22)*D$70*'Equipment and SOO'!$H48/'Equipment and SOO'!$H$57*VLOOKUP(D$26,'Equipment and SOO'!$E$6:$Y$30,MATCH($C35,'Equipment and SOO'!$E$6:$Y$6,FALSE),FALSE))</f>
        <v>#DIV/0!</v>
      </c>
      <c r="E90" s="1247" t="e">
        <f>(E$71*'Equipment and SOO'!$H48/'Equipment and SOO'!$H$57*VLOOKUP(E$30,'Equipment and SOO'!$E$6:$Y$30,MATCH($C35,'Equipment and SOO'!$E$6:$Y$6,FALSE),FALSE))+((1-E$22)*E$70*'Equipment and SOO'!$H48/'Equipment and SOO'!$H$57*VLOOKUP(E$26,'Equipment and SOO'!$E$6:$Y$30,MATCH($C35,'Equipment and SOO'!$E$6:$Y$6,FALSE),FALSE))</f>
        <v>#DIV/0!</v>
      </c>
      <c r="F90" s="1247" t="e">
        <f>(F$71*'Equipment and SOO'!$H48/'Equipment and SOO'!$H$57*VLOOKUP(F$30,'Equipment and SOO'!$E$6:$Y$30,MATCH($C35,'Equipment and SOO'!$E$6:$Y$6,FALSE),FALSE))+((1-F$22)*F$70*'Equipment and SOO'!$H48/'Equipment and SOO'!$H$57*VLOOKUP(F$26,'Equipment and SOO'!$E$6:$Y$30,MATCH($C35,'Equipment and SOO'!$E$6:$Y$6,FALSE),FALSE))</f>
        <v>#DIV/0!</v>
      </c>
      <c r="G90" s="1247" t="e">
        <f>(G$71*'Equipment and SOO'!$H48/'Equipment and SOO'!$H$57*VLOOKUP(G$30,'Equipment and SOO'!$E$6:$Y$30,MATCH($C35,'Equipment and SOO'!$E$6:$Y$6,FALSE),FALSE))+((1-G$22)*G$70*'Equipment and SOO'!$H48/'Equipment and SOO'!$H$57*VLOOKUP(G$26,'Equipment and SOO'!$E$6:$Y$30,MATCH($C35,'Equipment and SOO'!$E$6:$Y$6,FALSE),FALSE))</f>
        <v>#DIV/0!</v>
      </c>
      <c r="H90" s="1247" t="e">
        <f>(H$71*'Equipment and SOO'!$H48/'Equipment and SOO'!$H$57*VLOOKUP(H$30,'Equipment and SOO'!$E$6:$Y$30,MATCH($C35,'Equipment and SOO'!$E$6:$Y$6,FALSE),FALSE))+((1-H$22)*H$70*'Equipment and SOO'!$H48/'Equipment and SOO'!$H$57*VLOOKUP(H$26,'Equipment and SOO'!$E$6:$Y$30,MATCH($C35,'Equipment and SOO'!$E$6:$Y$6,FALSE),FALSE))</f>
        <v>#DIV/0!</v>
      </c>
      <c r="I90" s="533" t="e">
        <f t="shared" si="13"/>
        <v>#DIV/0!</v>
      </c>
      <c r="J90" s="765"/>
      <c r="K90" s="535"/>
      <c r="M90" s="1788"/>
    </row>
    <row r="91" spans="1:13" s="147" customFormat="1">
      <c r="A91" s="147">
        <v>3</v>
      </c>
      <c r="B91" s="508"/>
      <c r="C91" s="517" t="s">
        <v>345</v>
      </c>
      <c r="D91" s="1247" t="e">
        <f>(D$71*'Equipment and SOO'!$H49/'Equipment and SOO'!$H$57*VLOOKUP(D$30,'Equipment and SOO'!$E$6:$Y$30,MATCH($C36,'Equipment and SOO'!$E$6:$Y$6,FALSE),FALSE))+((1-D$22)*D$70*'Equipment and SOO'!$H49/'Equipment and SOO'!$H$57*VLOOKUP(D$26,'Equipment and SOO'!$E$6:$Y$30,MATCH($C36,'Equipment and SOO'!$E$6:$Y$6,FALSE),FALSE))</f>
        <v>#DIV/0!</v>
      </c>
      <c r="E91" s="1247" t="e">
        <f>(E$71*'Equipment and SOO'!$H49/'Equipment and SOO'!$H$57*VLOOKUP(E$30,'Equipment and SOO'!$E$6:$Y$30,MATCH($C36,'Equipment and SOO'!$E$6:$Y$6,FALSE),FALSE))+((1-E$22)*E$70*'Equipment and SOO'!$H49/'Equipment and SOO'!$H$57*VLOOKUP(E$26,'Equipment and SOO'!$E$6:$Y$30,MATCH($C36,'Equipment and SOO'!$E$6:$Y$6,FALSE),FALSE))</f>
        <v>#DIV/0!</v>
      </c>
      <c r="F91" s="1247" t="e">
        <f>(F$71*'Equipment and SOO'!$H49/'Equipment and SOO'!$H$57*VLOOKUP(F$30,'Equipment and SOO'!$E$6:$Y$30,MATCH($C36,'Equipment and SOO'!$E$6:$Y$6,FALSE),FALSE))+((1-F$22)*F$70*'Equipment and SOO'!$H49/'Equipment and SOO'!$H$57*VLOOKUP(F$26,'Equipment and SOO'!$E$6:$Y$30,MATCH($C36,'Equipment and SOO'!$E$6:$Y$6,FALSE),FALSE))</f>
        <v>#DIV/0!</v>
      </c>
      <c r="G91" s="1247" t="e">
        <f>(G$71*'Equipment and SOO'!$H49/'Equipment and SOO'!$H$57*VLOOKUP(G$30,'Equipment and SOO'!$E$6:$Y$30,MATCH($C36,'Equipment and SOO'!$E$6:$Y$6,FALSE),FALSE))+((1-G$22)*G$70*'Equipment and SOO'!$H49/'Equipment and SOO'!$H$57*VLOOKUP(G$26,'Equipment and SOO'!$E$6:$Y$30,MATCH($C36,'Equipment and SOO'!$E$6:$Y$6,FALSE),FALSE))</f>
        <v>#DIV/0!</v>
      </c>
      <c r="H91" s="1247" t="e">
        <f>(H$71*'Equipment and SOO'!$H49/'Equipment and SOO'!$H$57*VLOOKUP(H$30,'Equipment and SOO'!$E$6:$Y$30,MATCH($C36,'Equipment and SOO'!$E$6:$Y$6,FALSE),FALSE))+((1-H$22)*H$70*'Equipment and SOO'!$H49/'Equipment and SOO'!$H$57*VLOOKUP(H$26,'Equipment and SOO'!$E$6:$Y$30,MATCH($C36,'Equipment and SOO'!$E$6:$Y$6,FALSE),FALSE))</f>
        <v>#DIV/0!</v>
      </c>
      <c r="I91" s="533" t="e">
        <f t="shared" si="13"/>
        <v>#DIV/0!</v>
      </c>
      <c r="J91" s="765"/>
      <c r="K91" s="335"/>
      <c r="M91" s="1788"/>
    </row>
    <row r="92" spans="1:13" s="147" customFormat="1">
      <c r="A92" s="147">
        <v>4</v>
      </c>
      <c r="B92" s="508"/>
      <c r="C92" s="517" t="s">
        <v>160</v>
      </c>
      <c r="D92" s="1247" t="e">
        <f>(D$71*'Equipment and SOO'!$H50/'Equipment and SOO'!$H$57*VLOOKUP(D$30,'Equipment and SOO'!$E$6:$Y$30,MATCH($C37,'Equipment and SOO'!$E$6:$Y$6,FALSE),FALSE))+((1-D$22)*D$70*'Equipment and SOO'!$H50/'Equipment and SOO'!$H$57*VLOOKUP(D$26,'Equipment and SOO'!$E$6:$Y$30,MATCH($C37,'Equipment and SOO'!$E$6:$Y$6,FALSE),FALSE))</f>
        <v>#DIV/0!</v>
      </c>
      <c r="E92" s="1247" t="e">
        <f>(E$71*'Equipment and SOO'!$H50/'Equipment and SOO'!$H$57*VLOOKUP(E$30,'Equipment and SOO'!$E$6:$Y$30,MATCH($C37,'Equipment and SOO'!$E$6:$Y$6,FALSE),FALSE))+((1-E$22)*E$70*'Equipment and SOO'!$H50/'Equipment and SOO'!$H$57*VLOOKUP(E$26,'Equipment and SOO'!$E$6:$Y$30,MATCH($C37,'Equipment and SOO'!$E$6:$Y$6,FALSE),FALSE))</f>
        <v>#DIV/0!</v>
      </c>
      <c r="F92" s="1247" t="e">
        <f>(F$71*'Equipment and SOO'!$H50/'Equipment and SOO'!$H$57*VLOOKUP(F$30,'Equipment and SOO'!$E$6:$Y$30,MATCH($C37,'Equipment and SOO'!$E$6:$Y$6,FALSE),FALSE))+((1-F$22)*F$70*'Equipment and SOO'!$H50/'Equipment and SOO'!$H$57*VLOOKUP(F$26,'Equipment and SOO'!$E$6:$Y$30,MATCH($C37,'Equipment and SOO'!$E$6:$Y$6,FALSE),FALSE))</f>
        <v>#DIV/0!</v>
      </c>
      <c r="G92" s="1247" t="e">
        <f>(G$71*'Equipment and SOO'!$H50/'Equipment and SOO'!$H$57*VLOOKUP(G$30,'Equipment and SOO'!$E$6:$Y$30,MATCH($C37,'Equipment and SOO'!$E$6:$Y$6,FALSE),FALSE))+((1-G$22)*G$70*'Equipment and SOO'!$H50/'Equipment and SOO'!$H$57*VLOOKUP(G$26,'Equipment and SOO'!$E$6:$Y$30,MATCH($C37,'Equipment and SOO'!$E$6:$Y$6,FALSE),FALSE))</f>
        <v>#DIV/0!</v>
      </c>
      <c r="H92" s="1247" t="e">
        <f>(H$71*'Equipment and SOO'!$H50/'Equipment and SOO'!$H$57*VLOOKUP(H$30,'Equipment and SOO'!$E$6:$Y$30,MATCH($C37,'Equipment and SOO'!$E$6:$Y$6,FALSE),FALSE))+((1-H$22)*H$70*'Equipment and SOO'!$H50/'Equipment and SOO'!$H$57*VLOOKUP(H$26,'Equipment and SOO'!$E$6:$Y$30,MATCH($C37,'Equipment and SOO'!$E$6:$Y$6,FALSE),FALSE))</f>
        <v>#DIV/0!</v>
      </c>
      <c r="I92" s="533" t="e">
        <f t="shared" si="13"/>
        <v>#DIV/0!</v>
      </c>
      <c r="J92" s="765"/>
      <c r="K92" s="535"/>
      <c r="M92" s="1788"/>
    </row>
    <row r="93" spans="1:13" s="147" customFormat="1">
      <c r="A93" s="147">
        <v>5</v>
      </c>
      <c r="B93" s="508"/>
      <c r="C93" s="517" t="s">
        <v>175</v>
      </c>
      <c r="D93" s="1247" t="e">
        <f>(D$71*'Equipment and SOO'!$H51/'Equipment and SOO'!$H$57*VLOOKUP(D$30,'Equipment and SOO'!$E$6:$Y$30,MATCH($C38,'Equipment and SOO'!$E$6:$Y$6,FALSE),FALSE))+((1-D$22)*D$70*'Equipment and SOO'!$H51/'Equipment and SOO'!$H$57*VLOOKUP(D$26,'Equipment and SOO'!$E$6:$Y$30,MATCH($C38,'Equipment and SOO'!$E$6:$Y$6,FALSE),FALSE))</f>
        <v>#DIV/0!</v>
      </c>
      <c r="E93" s="1247" t="e">
        <f>(E$71*'Equipment and SOO'!$H51/'Equipment and SOO'!$H$57*VLOOKUP(E$30,'Equipment and SOO'!$E$6:$Y$30,MATCH($C38,'Equipment and SOO'!$E$6:$Y$6,FALSE),FALSE))+((1-E$22)*E$70*'Equipment and SOO'!$H51/'Equipment and SOO'!$H$57*VLOOKUP(E$26,'Equipment and SOO'!$E$6:$Y$30,MATCH($C38,'Equipment and SOO'!$E$6:$Y$6,FALSE),FALSE))</f>
        <v>#DIV/0!</v>
      </c>
      <c r="F93" s="1247" t="e">
        <f>(F$71*'Equipment and SOO'!$H51/'Equipment and SOO'!$H$57*VLOOKUP(F$30,'Equipment and SOO'!$E$6:$Y$30,MATCH($C38,'Equipment and SOO'!$E$6:$Y$6,FALSE),FALSE))+((1-F$22)*F$70*'Equipment and SOO'!$H51/'Equipment and SOO'!$H$57*VLOOKUP(F$26,'Equipment and SOO'!$E$6:$Y$30,MATCH($C38,'Equipment and SOO'!$E$6:$Y$6,FALSE),FALSE))</f>
        <v>#DIV/0!</v>
      </c>
      <c r="G93" s="1247" t="e">
        <f>(G$71*'Equipment and SOO'!$H51/'Equipment and SOO'!$H$57*VLOOKUP(G$30,'Equipment and SOO'!$E$6:$Y$30,MATCH($C38,'Equipment and SOO'!$E$6:$Y$6,FALSE),FALSE))+((1-G$22)*G$70*'Equipment and SOO'!$H51/'Equipment and SOO'!$H$57*VLOOKUP(G$26,'Equipment and SOO'!$E$6:$Y$30,MATCH($C38,'Equipment and SOO'!$E$6:$Y$6,FALSE),FALSE))</f>
        <v>#DIV/0!</v>
      </c>
      <c r="H93" s="1247" t="e">
        <f>(H$71*'Equipment and SOO'!$H51/'Equipment and SOO'!$H$57*VLOOKUP(H$30,'Equipment and SOO'!$E$6:$Y$30,MATCH($C38,'Equipment and SOO'!$E$6:$Y$6,FALSE),FALSE))+((1-H$22)*H$70*'Equipment and SOO'!$H51/'Equipment and SOO'!$H$57*VLOOKUP(H$26,'Equipment and SOO'!$E$6:$Y$30,MATCH($C38,'Equipment and SOO'!$E$6:$Y$6,FALSE),FALSE))</f>
        <v>#DIV/0!</v>
      </c>
      <c r="I93" s="533" t="e">
        <f t="shared" si="13"/>
        <v>#DIV/0!</v>
      </c>
      <c r="J93" s="765"/>
      <c r="K93" s="335"/>
      <c r="M93" s="1788"/>
    </row>
    <row r="94" spans="1:13" s="147" customFormat="1">
      <c r="A94" s="147">
        <v>6</v>
      </c>
      <c r="B94" s="508"/>
      <c r="C94" s="517" t="s">
        <v>151</v>
      </c>
      <c r="D94" s="1247" t="e">
        <f>(D$71*'Equipment and SOO'!$H52/'Equipment and SOO'!$H$57*VLOOKUP(D$30,'Equipment and SOO'!$E$6:$Y$30,MATCH($C39,'Equipment and SOO'!$E$6:$Y$6,FALSE),FALSE))+((1-D$22)*D$70*'Equipment and SOO'!$H52/'Equipment and SOO'!$H$57*VLOOKUP(D$26,'Equipment and SOO'!$E$6:$Y$30,MATCH($C39,'Equipment and SOO'!$E$6:$Y$6,FALSE),FALSE))</f>
        <v>#DIV/0!</v>
      </c>
      <c r="E94" s="1247" t="e">
        <f>(E$71*'Equipment and SOO'!$H52/'Equipment and SOO'!$H$57*VLOOKUP(E$30,'Equipment and SOO'!$E$6:$Y$30,MATCH($C39,'Equipment and SOO'!$E$6:$Y$6,FALSE),FALSE))+((1-E$22)*E$70*'Equipment and SOO'!$H52/'Equipment and SOO'!$H$57*VLOOKUP(E$26,'Equipment and SOO'!$E$6:$Y$30,MATCH($C39,'Equipment and SOO'!$E$6:$Y$6,FALSE),FALSE))</f>
        <v>#DIV/0!</v>
      </c>
      <c r="F94" s="1247" t="e">
        <f>(F$71*'Equipment and SOO'!$H52/'Equipment and SOO'!$H$57*VLOOKUP(F$30,'Equipment and SOO'!$E$6:$Y$30,MATCH($C39,'Equipment and SOO'!$E$6:$Y$6,FALSE),FALSE))+((1-F$22)*F$70*'Equipment and SOO'!$H52/'Equipment and SOO'!$H$57*VLOOKUP(F$26,'Equipment and SOO'!$E$6:$Y$30,MATCH($C39,'Equipment and SOO'!$E$6:$Y$6,FALSE),FALSE))</f>
        <v>#DIV/0!</v>
      </c>
      <c r="G94" s="1247" t="e">
        <f>(G$71*'Equipment and SOO'!$H52/'Equipment and SOO'!$H$57*VLOOKUP(G$30,'Equipment and SOO'!$E$6:$Y$30,MATCH($C39,'Equipment and SOO'!$E$6:$Y$6,FALSE),FALSE))+((1-G$22)*G$70*'Equipment and SOO'!$H52/'Equipment and SOO'!$H$57*VLOOKUP(G$26,'Equipment and SOO'!$E$6:$Y$30,MATCH($C39,'Equipment and SOO'!$E$6:$Y$6,FALSE),FALSE))</f>
        <v>#DIV/0!</v>
      </c>
      <c r="H94" s="1247" t="e">
        <f>(H$71*'Equipment and SOO'!$H52/'Equipment and SOO'!$H$57*VLOOKUP(H$30,'Equipment and SOO'!$E$6:$Y$30,MATCH($C39,'Equipment and SOO'!$E$6:$Y$6,FALSE),FALSE))+((1-H$22)*H$70*'Equipment and SOO'!$H52/'Equipment and SOO'!$H$57*VLOOKUP(H$26,'Equipment and SOO'!$E$6:$Y$30,MATCH($C39,'Equipment and SOO'!$E$6:$Y$6,FALSE),FALSE))</f>
        <v>#DIV/0!</v>
      </c>
      <c r="I94" s="533" t="e">
        <f t="shared" si="13"/>
        <v>#DIV/0!</v>
      </c>
      <c r="J94" s="765"/>
      <c r="K94" s="335"/>
      <c r="M94" s="1789"/>
    </row>
    <row r="95" spans="1:13" s="147" customFormat="1">
      <c r="A95" s="147">
        <v>7</v>
      </c>
      <c r="B95" s="508"/>
      <c r="C95" s="517" t="s">
        <v>349</v>
      </c>
      <c r="D95" s="1247" t="e">
        <f>(D$71*'Equipment and SOO'!$H53/'Equipment and SOO'!$H$57*VLOOKUP(D$30,'Equipment and SOO'!$E$6:$Y$30,MATCH($C40,'Equipment and SOO'!$E$6:$Y$6,FALSE),FALSE))+((1-D$22)*D$70*'Equipment and SOO'!$H53/'Equipment and SOO'!$H$57*VLOOKUP(D$26,'Equipment and SOO'!$E$6:$Y$30,MATCH($C40,'Equipment and SOO'!$E$6:$Y$6,FALSE),FALSE))</f>
        <v>#DIV/0!</v>
      </c>
      <c r="E95" s="1247" t="e">
        <f>(E$71*'Equipment and SOO'!$H53/'Equipment and SOO'!$H$57*VLOOKUP(E$30,'Equipment and SOO'!$E$6:$Y$30,MATCH($C40,'Equipment and SOO'!$E$6:$Y$6,FALSE),FALSE))+((1-E$22)*E$70*'Equipment and SOO'!$H53/'Equipment and SOO'!$H$57*VLOOKUP(E$26,'Equipment and SOO'!$E$6:$Y$30,MATCH($C40,'Equipment and SOO'!$E$6:$Y$6,FALSE),FALSE))</f>
        <v>#DIV/0!</v>
      </c>
      <c r="F95" s="1247" t="e">
        <f>(F$71*'Equipment and SOO'!$H53/'Equipment and SOO'!$H$57*VLOOKUP(F$30,'Equipment and SOO'!$E$6:$Y$30,MATCH($C40,'Equipment and SOO'!$E$6:$Y$6,FALSE),FALSE))+((1-F$22)*F$70*'Equipment and SOO'!$H53/'Equipment and SOO'!$H$57*VLOOKUP(F$26,'Equipment and SOO'!$E$6:$Y$30,MATCH($C40,'Equipment and SOO'!$E$6:$Y$6,FALSE),FALSE))</f>
        <v>#DIV/0!</v>
      </c>
      <c r="G95" s="1247" t="e">
        <f>(G$71*'Equipment and SOO'!$H53/'Equipment and SOO'!$H$57*VLOOKUP(G$30,'Equipment and SOO'!$E$6:$Y$30,MATCH($C40,'Equipment and SOO'!$E$6:$Y$6,FALSE),FALSE))+((1-G$22)*G$70*'Equipment and SOO'!$H53/'Equipment and SOO'!$H$57*VLOOKUP(G$26,'Equipment and SOO'!$E$6:$Y$30,MATCH($C40,'Equipment and SOO'!$E$6:$Y$6,FALSE),FALSE))</f>
        <v>#DIV/0!</v>
      </c>
      <c r="H95" s="1247" t="e">
        <f>(H$71*'Equipment and SOO'!$H53/'Equipment and SOO'!$H$57*VLOOKUP(H$30,'Equipment and SOO'!$E$6:$Y$30,MATCH($C40,'Equipment and SOO'!$E$6:$Y$6,FALSE),FALSE))+((1-H$22)*H$70*'Equipment and SOO'!$H53/'Equipment and SOO'!$H$57*VLOOKUP(H$26,'Equipment and SOO'!$E$6:$Y$30,MATCH($C40,'Equipment and SOO'!$E$6:$Y$6,FALSE),FALSE))</f>
        <v>#DIV/0!</v>
      </c>
      <c r="I95" s="533" t="e">
        <f t="shared" si="13"/>
        <v>#DIV/0!</v>
      </c>
      <c r="J95" s="765"/>
      <c r="K95" s="335"/>
    </row>
    <row r="96" spans="1:13" s="147" customFormat="1" ht="29.1">
      <c r="A96" s="147">
        <v>8</v>
      </c>
      <c r="B96" s="508"/>
      <c r="C96" s="517" t="s">
        <v>177</v>
      </c>
      <c r="D96" s="1247" t="e">
        <f>(D$71*'Equipment and SOO'!$H54/'Equipment and SOO'!$H$57*VLOOKUP(D$30,'Equipment and SOO'!$E$6:$Y$30,MATCH($C41,'Equipment and SOO'!$E$6:$Y$6,FALSE),FALSE))+((1-D$22)*D$70*'Equipment and SOO'!$H54/'Equipment and SOO'!$H$57*VLOOKUP(D$26,'Equipment and SOO'!$E$6:$Y$30,MATCH($C41,'Equipment and SOO'!$E$6:$Y$6,FALSE),FALSE))</f>
        <v>#DIV/0!</v>
      </c>
      <c r="E96" s="1247" t="e">
        <f>(E$71*'Equipment and SOO'!$H54/'Equipment and SOO'!$H$57*VLOOKUP(E$30,'Equipment and SOO'!$E$6:$Y$30,MATCH($C41,'Equipment and SOO'!$E$6:$Y$6,FALSE),FALSE))+((1-E$22)*E$70*'Equipment and SOO'!$H54/'Equipment and SOO'!$H$57*VLOOKUP(E$26,'Equipment and SOO'!$E$6:$Y$30,MATCH($C41,'Equipment and SOO'!$E$6:$Y$6,FALSE),FALSE))</f>
        <v>#DIV/0!</v>
      </c>
      <c r="F96" s="1247" t="e">
        <f>(F$71*'Equipment and SOO'!$H54/'Equipment and SOO'!$H$57*VLOOKUP(F$30,'Equipment and SOO'!$E$6:$Y$30,MATCH($C41,'Equipment and SOO'!$E$6:$Y$6,FALSE),FALSE))+((1-F$22)*F$70*'Equipment and SOO'!$H54/'Equipment and SOO'!$H$57*VLOOKUP(F$26,'Equipment and SOO'!$E$6:$Y$30,MATCH($C41,'Equipment and SOO'!$E$6:$Y$6,FALSE),FALSE))</f>
        <v>#DIV/0!</v>
      </c>
      <c r="G96" s="1247" t="e">
        <f>(G$71*'Equipment and SOO'!$H54/'Equipment and SOO'!$H$57*VLOOKUP(G$30,'Equipment and SOO'!$E$6:$Y$30,MATCH($C41,'Equipment and SOO'!$E$6:$Y$6,FALSE),FALSE))+((1-G$22)*G$70*'Equipment and SOO'!$H54/'Equipment and SOO'!$H$57*VLOOKUP(G$26,'Equipment and SOO'!$E$6:$Y$30,MATCH($C41,'Equipment and SOO'!$E$6:$Y$6,FALSE),FALSE))</f>
        <v>#DIV/0!</v>
      </c>
      <c r="H96" s="1247" t="e">
        <f>(H$71*'Equipment and SOO'!$H54/'Equipment and SOO'!$H$57*VLOOKUP(H$30,'Equipment and SOO'!$E$6:$Y$30,MATCH($C41,'Equipment and SOO'!$E$6:$Y$6,FALSE),FALSE))+((1-H$22)*H$70*'Equipment and SOO'!$H54/'Equipment and SOO'!$H$57*VLOOKUP(H$26,'Equipment and SOO'!$E$6:$Y$30,MATCH($C41,'Equipment and SOO'!$E$6:$Y$6,FALSE),FALSE))</f>
        <v>#DIV/0!</v>
      </c>
      <c r="I96" s="533" t="e">
        <f t="shared" si="13"/>
        <v>#DIV/0!</v>
      </c>
      <c r="J96" s="765"/>
      <c r="K96" s="335"/>
    </row>
    <row r="97" spans="1:20" s="147" customFormat="1" ht="29.1">
      <c r="A97" s="147">
        <v>9</v>
      </c>
      <c r="B97" s="508"/>
      <c r="C97" s="517" t="s">
        <v>352</v>
      </c>
      <c r="D97" s="1247" t="e">
        <f>(D$71*'Equipment and SOO'!$H55/'Equipment and SOO'!$H$57*VLOOKUP(D$30,'Equipment and SOO'!$E$6:$Y$30,MATCH($C42,'Equipment and SOO'!$E$6:$Y$6,FALSE),FALSE))+((1-D$22)*D$70*'Equipment and SOO'!$H55/'Equipment and SOO'!$H$57*VLOOKUP(D$26,'Equipment and SOO'!$E$6:$Y$30,MATCH($C42,'Equipment and SOO'!$E$6:$Y$6,FALSE),FALSE))</f>
        <v>#DIV/0!</v>
      </c>
      <c r="E97" s="1247" t="e">
        <f>(E$71*'Equipment and SOO'!$H55/'Equipment and SOO'!$H$57*VLOOKUP(E$30,'Equipment and SOO'!$E$6:$Y$30,MATCH($C42,'Equipment and SOO'!$E$6:$Y$6,FALSE),FALSE))+((1-E$22)*E$70*'Equipment and SOO'!$H55/'Equipment and SOO'!$H$57*VLOOKUP(E$26,'Equipment and SOO'!$E$6:$Y$30,MATCH($C42,'Equipment and SOO'!$E$6:$Y$6,FALSE),FALSE))</f>
        <v>#DIV/0!</v>
      </c>
      <c r="F97" s="1247" t="e">
        <f>(F$71*'Equipment and SOO'!$H55/'Equipment and SOO'!$H$57*VLOOKUP(F$30,'Equipment and SOO'!$E$6:$Y$30,MATCH($C42,'Equipment and SOO'!$E$6:$Y$6,FALSE),FALSE))+((1-F$22)*F$70*'Equipment and SOO'!$H55/'Equipment and SOO'!$H$57*VLOOKUP(F$26,'Equipment and SOO'!$E$6:$Y$30,MATCH($C42,'Equipment and SOO'!$E$6:$Y$6,FALSE),FALSE))</f>
        <v>#DIV/0!</v>
      </c>
      <c r="G97" s="1247" t="e">
        <f>(G$71*'Equipment and SOO'!$H55/'Equipment and SOO'!$H$57*VLOOKUP(G$30,'Equipment and SOO'!$E$6:$Y$30,MATCH($C42,'Equipment and SOO'!$E$6:$Y$6,FALSE),FALSE))+((1-G$22)*G$70*'Equipment and SOO'!$H55/'Equipment and SOO'!$H$57*VLOOKUP(G$26,'Equipment and SOO'!$E$6:$Y$30,MATCH($C42,'Equipment and SOO'!$E$6:$Y$6,FALSE),FALSE))</f>
        <v>#DIV/0!</v>
      </c>
      <c r="H97" s="1247" t="e">
        <f>(H$71*'Equipment and SOO'!$H55/'Equipment and SOO'!$H$57*VLOOKUP(H$30,'Equipment and SOO'!$E$6:$Y$30,MATCH($C42,'Equipment and SOO'!$E$6:$Y$6,FALSE),FALSE))+((1-H$22)*H$70*'Equipment and SOO'!$H55/'Equipment and SOO'!$H$57*VLOOKUP(H$26,'Equipment and SOO'!$E$6:$Y$30,MATCH($C42,'Equipment and SOO'!$E$6:$Y$6,FALSE),FALSE))</f>
        <v>#DIV/0!</v>
      </c>
      <c r="I97" s="533" t="e">
        <f t="shared" si="13"/>
        <v>#DIV/0!</v>
      </c>
      <c r="J97" s="765"/>
      <c r="K97" s="335"/>
    </row>
    <row r="98" spans="1:20" s="147" customFormat="1" ht="39.6" customHeight="1">
      <c r="A98" s="147">
        <v>10</v>
      </c>
      <c r="B98" s="508"/>
      <c r="C98" s="517" t="s">
        <v>162</v>
      </c>
      <c r="D98" s="1247" t="e">
        <f>(D$71*'Equipment and SOO'!$H56/'Equipment and SOO'!$H$57*VLOOKUP(D$30,'Equipment and SOO'!$E$6:$Y$30,MATCH($C43,'Equipment and SOO'!$E$6:$Y$6,FALSE),FALSE))+((1-D$22)*D$70*'Equipment and SOO'!$H56/'Equipment and SOO'!$H$57*VLOOKUP(D$26,'Equipment and SOO'!$E$6:$Y$30,MATCH($C43,'Equipment and SOO'!$E$6:$Y$6,FALSE),FALSE))</f>
        <v>#DIV/0!</v>
      </c>
      <c r="E98" s="1247" t="e">
        <f>(E$71*'Equipment and SOO'!$H56/'Equipment and SOO'!$H$57*VLOOKUP(E$30,'Equipment and SOO'!$E$6:$Y$30,MATCH($C43,'Equipment and SOO'!$E$6:$Y$6,FALSE),FALSE))+((1-E$22)*E$70*'Equipment and SOO'!$H56/'Equipment and SOO'!$H$57*VLOOKUP(E$26,'Equipment and SOO'!$E$6:$Y$30,MATCH($C43,'Equipment and SOO'!$E$6:$Y$6,FALSE),FALSE))</f>
        <v>#DIV/0!</v>
      </c>
      <c r="F98" s="1247" t="e">
        <f>(F$71*'Equipment and SOO'!$H56/'Equipment and SOO'!$H$57*VLOOKUP(F$30,'Equipment and SOO'!$E$6:$Y$30,MATCH($C43,'Equipment and SOO'!$E$6:$Y$6,FALSE),FALSE))+((1-F$22)*F$70*'Equipment and SOO'!$H56/'Equipment and SOO'!$H$57*VLOOKUP(F$26,'Equipment and SOO'!$E$6:$Y$30,MATCH($C43,'Equipment and SOO'!$E$6:$Y$6,FALSE),FALSE))</f>
        <v>#DIV/0!</v>
      </c>
      <c r="G98" s="1247" t="e">
        <f>(G$71*'Equipment and SOO'!$H56/'Equipment and SOO'!$H$57*VLOOKUP(G$30,'Equipment and SOO'!$E$6:$Y$30,MATCH($C43,'Equipment and SOO'!$E$6:$Y$6,FALSE),FALSE))+((1-G$22)*G$70*'Equipment and SOO'!$H56/'Equipment and SOO'!$H$57*VLOOKUP(G$26,'Equipment and SOO'!$E$6:$Y$30,MATCH($C43,'Equipment and SOO'!$E$6:$Y$6,FALSE),FALSE))</f>
        <v>#DIV/0!</v>
      </c>
      <c r="H98" s="1247" t="e">
        <f>(H$71*'Equipment and SOO'!$H56/'Equipment and SOO'!$H$57*VLOOKUP(H$30,'Equipment and SOO'!$E$6:$Y$30,MATCH($C43,'Equipment and SOO'!$E$6:$Y$6,FALSE),FALSE))+((1-H$22)*H$70*'Equipment and SOO'!$H56/'Equipment and SOO'!$H$57*VLOOKUP(H$26,'Equipment and SOO'!$E$6:$Y$30,MATCH($C43,'Equipment and SOO'!$E$6:$Y$6,FALSE),FALSE))</f>
        <v>#DIV/0!</v>
      </c>
      <c r="I98" s="533" t="e">
        <f t="shared" si="13"/>
        <v>#DIV/0!</v>
      </c>
      <c r="J98" s="765"/>
      <c r="K98" s="335"/>
    </row>
    <row r="99" spans="1:20" s="147" customFormat="1" ht="39.6" customHeight="1">
      <c r="C99" s="470"/>
      <c r="D99" s="843"/>
      <c r="E99" s="843"/>
      <c r="F99" s="843"/>
      <c r="G99" s="843"/>
      <c r="H99" s="843"/>
      <c r="I99" s="844"/>
      <c r="J99" s="845"/>
      <c r="K99" s="335"/>
      <c r="M99" s="866"/>
    </row>
    <row r="100" spans="1:20" s="147" customFormat="1" ht="26.1">
      <c r="A100" s="150" t="s">
        <v>761</v>
      </c>
      <c r="C100" s="314"/>
      <c r="D100" s="147" t="s">
        <v>762</v>
      </c>
      <c r="E100" s="314"/>
      <c r="H100" s="323"/>
      <c r="I100" s="315"/>
      <c r="J100" s="315"/>
      <c r="K100" s="315"/>
      <c r="L100" s="315"/>
      <c r="M100" s="315"/>
      <c r="S100" s="335"/>
      <c r="T100" s="328"/>
    </row>
    <row r="101" spans="1:20" s="147" customFormat="1">
      <c r="B101" s="445" t="s">
        <v>172</v>
      </c>
      <c r="C101" s="469"/>
      <c r="D101" s="527" t="s">
        <v>306</v>
      </c>
      <c r="E101" s="527" t="s">
        <v>307</v>
      </c>
      <c r="F101" s="527" t="s">
        <v>308</v>
      </c>
      <c r="G101" s="527" t="s">
        <v>309</v>
      </c>
      <c r="H101" s="527" t="s">
        <v>310</v>
      </c>
      <c r="I101" s="527" t="s">
        <v>748</v>
      </c>
      <c r="J101" s="527" t="s">
        <v>547</v>
      </c>
      <c r="K101" s="534"/>
      <c r="L101" s="771"/>
    </row>
    <row r="102" spans="1:20" s="147" customFormat="1">
      <c r="A102" s="147">
        <v>2</v>
      </c>
      <c r="B102" s="505" t="s">
        <v>757</v>
      </c>
      <c r="C102" s="512" t="s">
        <v>342</v>
      </c>
      <c r="D102" s="528" t="e">
        <f>D$61*D$59*'User Inputs and Savings'!C60*D$48*D72*HLOOKUP(D$23,'Equipment and SOO'!$I$47:$K$56,$A102,FALSE)</f>
        <v>#N/A</v>
      </c>
      <c r="E102" s="528" t="e">
        <f>E$61*E$59*'User Inputs and Savings'!D60*E$48*E72*HLOOKUP(E$23,'Equipment and SOO'!$I$47:$K$56,$A102,FALSE)</f>
        <v>#N/A</v>
      </c>
      <c r="F102" s="528" t="e">
        <f>F$61*F$59*'User Inputs and Savings'!E60*F$48*F72*HLOOKUP(F$23,'Equipment and SOO'!$I$47:$K$56,$A102,FALSE)</f>
        <v>#N/A</v>
      </c>
      <c r="G102" s="528" t="e">
        <f>G$61*G$59*'User Inputs and Savings'!F60*G$48*G72*HLOOKUP(G$23,'Equipment and SOO'!$I$47:$K$56,$A102,FALSE)</f>
        <v>#N/A</v>
      </c>
      <c r="H102" s="528" t="e">
        <f>H$61*H$59*'User Inputs and Savings'!G60*H$48*H72*HLOOKUP(H$23,'Equipment and SOO'!$I$47:$K$56,$A102,FALSE)</f>
        <v>#N/A</v>
      </c>
      <c r="I102" s="529" t="e">
        <f t="shared" ref="I102:I110" si="14">SUM(D102:H102)</f>
        <v>#N/A</v>
      </c>
      <c r="J102" s="764" t="s">
        <v>763</v>
      </c>
      <c r="K102" s="534"/>
    </row>
    <row r="103" spans="1:20" s="147" customFormat="1">
      <c r="A103" s="147">
        <v>3</v>
      </c>
      <c r="B103" s="506"/>
      <c r="C103" s="513" t="s">
        <v>345</v>
      </c>
      <c r="D103" s="528" t="e">
        <f>D$61*D$59*'User Inputs and Savings'!C61*D$48*D73*HLOOKUP(D$23,'Equipment and SOO'!$I$47:$K$56,$A103,FALSE)</f>
        <v>#N/A</v>
      </c>
      <c r="E103" s="528" t="e">
        <f>E$61*E$59*'User Inputs and Savings'!D61*E$48*E73*HLOOKUP(E$23,'Equipment and SOO'!$I$47:$K$56,$A103,FALSE)</f>
        <v>#N/A</v>
      </c>
      <c r="F103" s="528" t="e">
        <f>F$61*F$59*'User Inputs and Savings'!E61*F$48*F73*HLOOKUP(F$23,'Equipment and SOO'!$I$47:$K$56,$A103,FALSE)</f>
        <v>#N/A</v>
      </c>
      <c r="G103" s="528" t="e">
        <f>G$61*G$59*'User Inputs and Savings'!F61*G$48*G73*HLOOKUP(G$23,'Equipment and SOO'!$I$47:$K$56,$A103,FALSE)</f>
        <v>#N/A</v>
      </c>
      <c r="H103" s="528" t="e">
        <f>H$61*H$59*'User Inputs and Savings'!G61*H$48*H73*HLOOKUP(H$23,'Equipment and SOO'!$I$47:$K$56,$A103,FALSE)</f>
        <v>#N/A</v>
      </c>
      <c r="I103" s="529" t="e">
        <f t="shared" si="14"/>
        <v>#N/A</v>
      </c>
      <c r="J103" s="764" t="s">
        <v>763</v>
      </c>
      <c r="K103" s="335"/>
    </row>
    <row r="104" spans="1:20" s="147" customFormat="1">
      <c r="A104" s="147">
        <v>4</v>
      </c>
      <c r="B104" s="506"/>
      <c r="C104" s="513" t="s">
        <v>160</v>
      </c>
      <c r="D104" s="528" t="e">
        <f>D$61*D$59*'User Inputs and Savings'!C62*D$48*D74*HLOOKUP(D$23,'Equipment and SOO'!$I$47:$K$56,$A104,FALSE)</f>
        <v>#N/A</v>
      </c>
      <c r="E104" s="528" t="e">
        <f>E$61*E$59*'User Inputs and Savings'!D62*E$48*E74*HLOOKUP(E$23,'Equipment and SOO'!$I$47:$K$56,$A104,FALSE)</f>
        <v>#N/A</v>
      </c>
      <c r="F104" s="528" t="e">
        <f>F$61*F$59*'User Inputs and Savings'!E62*F$48*F74*HLOOKUP(F$23,'Equipment and SOO'!$I$47:$K$56,$A104,FALSE)</f>
        <v>#N/A</v>
      </c>
      <c r="G104" s="528" t="e">
        <f>G$61*G$59*'User Inputs and Savings'!F62*G$48*G74*HLOOKUP(G$23,'Equipment and SOO'!$I$47:$K$56,$A104,FALSE)</f>
        <v>#N/A</v>
      </c>
      <c r="H104" s="528" t="e">
        <f>H$61*H$59*'User Inputs and Savings'!G62*H$48*H74*HLOOKUP(H$23,'Equipment and SOO'!$I$47:$K$56,$A104,FALSE)</f>
        <v>#N/A</v>
      </c>
      <c r="I104" s="529" t="e">
        <f t="shared" si="14"/>
        <v>#N/A</v>
      </c>
      <c r="J104" s="764" t="s">
        <v>764</v>
      </c>
      <c r="K104" s="335"/>
    </row>
    <row r="105" spans="1:20" s="147" customFormat="1">
      <c r="A105" s="147">
        <v>5</v>
      </c>
      <c r="B105" s="506"/>
      <c r="C105" s="513" t="s">
        <v>175</v>
      </c>
      <c r="D105" s="528" t="e">
        <f>D$61*D$59*'User Inputs and Savings'!C63*D$48*D75*HLOOKUP(D$23,'Equipment and SOO'!$I$47:$K$56,$A105,FALSE)</f>
        <v>#N/A</v>
      </c>
      <c r="E105" s="528" t="e">
        <f>E$61*E$59*'User Inputs and Savings'!D63*E$48*E75*HLOOKUP(E$23,'Equipment and SOO'!$I$47:$K$56,$A105,FALSE)</f>
        <v>#N/A</v>
      </c>
      <c r="F105" s="528" t="e">
        <f>F$61*F$59*'User Inputs and Savings'!E63*F$48*F75*HLOOKUP(F$23,'Equipment and SOO'!$I$47:$K$56,$A105,FALSE)</f>
        <v>#N/A</v>
      </c>
      <c r="G105" s="528" t="e">
        <f>G$61*G$59*'User Inputs and Savings'!F63*G$48*G75*HLOOKUP(G$23,'Equipment and SOO'!$I$47:$K$56,$A105,FALSE)</f>
        <v>#N/A</v>
      </c>
      <c r="H105" s="528" t="e">
        <f>H$61*H$59*'User Inputs and Savings'!G63*H$48*H75*HLOOKUP(H$23,'Equipment and SOO'!$I$47:$K$56,$A105,FALSE)</f>
        <v>#N/A</v>
      </c>
      <c r="I105" s="529" t="e">
        <f t="shared" si="14"/>
        <v>#N/A</v>
      </c>
      <c r="J105" s="764" t="s">
        <v>763</v>
      </c>
      <c r="K105" s="335"/>
    </row>
    <row r="106" spans="1:20" s="147" customFormat="1">
      <c r="A106" s="147">
        <v>6</v>
      </c>
      <c r="B106" s="506"/>
      <c r="C106" s="513" t="s">
        <v>151</v>
      </c>
      <c r="D106" s="528" t="e">
        <f>D$61*D$59*'User Inputs and Savings'!C64*D$48*D76*HLOOKUP(D$23,'Equipment and SOO'!$I$47:$K$56,$A106,FALSE)</f>
        <v>#N/A</v>
      </c>
      <c r="E106" s="528" t="e">
        <f>E$61*E$59*'User Inputs and Savings'!D64*E$48*E76*HLOOKUP(E$23,'Equipment and SOO'!$I$47:$K$56,$A106,FALSE)</f>
        <v>#N/A</v>
      </c>
      <c r="F106" s="528" t="e">
        <f>F$61*F$59*'User Inputs and Savings'!E64*F$48*F76*HLOOKUP(F$23,'Equipment and SOO'!$I$47:$K$56,$A106,FALSE)</f>
        <v>#N/A</v>
      </c>
      <c r="G106" s="528" t="e">
        <f>G$61*G$59*'User Inputs and Savings'!F64*G$48*G76*HLOOKUP(G$23,'Equipment and SOO'!$I$47:$K$56,$A106,FALSE)</f>
        <v>#N/A</v>
      </c>
      <c r="H106" s="528" t="e">
        <f>H$61*H$59*'User Inputs and Savings'!G64*H$48*H76*HLOOKUP(H$23,'Equipment and SOO'!$I$47:$K$56,$A106,FALSE)</f>
        <v>#N/A</v>
      </c>
      <c r="I106" s="529" t="e">
        <f t="shared" si="14"/>
        <v>#N/A</v>
      </c>
      <c r="J106" s="764" t="s">
        <v>631</v>
      </c>
      <c r="K106" s="335"/>
    </row>
    <row r="107" spans="1:20" s="147" customFormat="1">
      <c r="A107" s="147">
        <v>7</v>
      </c>
      <c r="B107" s="506"/>
      <c r="C107" s="513" t="s">
        <v>349</v>
      </c>
      <c r="D107" s="528" t="e">
        <f>D$61*D$59*'User Inputs and Savings'!C65*D$48*D77*HLOOKUP(D$23,'Equipment and SOO'!$I$47:$K$56,$A107,FALSE)*D$33</f>
        <v>#N/A</v>
      </c>
      <c r="E107" s="528" t="e">
        <f>E$61*E$59*'User Inputs and Savings'!D65*E$48*E77*HLOOKUP(E$23,'Equipment and SOO'!$I$47:$K$56,$A107,FALSE)*E$33</f>
        <v>#N/A</v>
      </c>
      <c r="F107" s="528" t="e">
        <f>F$61*F$59*'User Inputs and Savings'!E65*F$48*F77*HLOOKUP(F$23,'Equipment and SOO'!$I$47:$K$56,$A107,FALSE)*F$33</f>
        <v>#N/A</v>
      </c>
      <c r="G107" s="528" t="e">
        <f>G$61*G$59*'User Inputs and Savings'!F65*G$48*G77*HLOOKUP(G$23,'Equipment and SOO'!$I$47:$K$56,$A107,FALSE)*G$33</f>
        <v>#N/A</v>
      </c>
      <c r="H107" s="528" t="e">
        <f>H$61*H$59*'User Inputs and Savings'!G65*H$48*H77*HLOOKUP(H$23,'Equipment and SOO'!$I$47:$K$56,$A107,FALSE)*H$33</f>
        <v>#N/A</v>
      </c>
      <c r="I107" s="529" t="e">
        <f t="shared" si="14"/>
        <v>#N/A</v>
      </c>
      <c r="J107" s="764" t="s">
        <v>765</v>
      </c>
      <c r="K107" s="335"/>
    </row>
    <row r="108" spans="1:20" s="147" customFormat="1" ht="29.1">
      <c r="A108" s="147">
        <v>8</v>
      </c>
      <c r="B108" s="506"/>
      <c r="C108" s="513" t="s">
        <v>177</v>
      </c>
      <c r="D108" s="528" t="e">
        <f>D$61*D$59*'User Inputs and Savings'!C66*D$48*D78*HLOOKUP(D$23,'Equipment and SOO'!$I$47:$K$56,$A108,FALSE)*D$33</f>
        <v>#N/A</v>
      </c>
      <c r="E108" s="528" t="e">
        <f>E$61*E$59*'User Inputs and Savings'!D66*E$48*E78*HLOOKUP(E$23,'Equipment and SOO'!$I$47:$K$56,$A108,FALSE)*E$33</f>
        <v>#N/A</v>
      </c>
      <c r="F108" s="528" t="e">
        <f>F$61*F$59*'User Inputs and Savings'!E66*F$48*F78*HLOOKUP(F$23,'Equipment and SOO'!$I$47:$K$56,$A108,FALSE)*F$33</f>
        <v>#N/A</v>
      </c>
      <c r="G108" s="528" t="e">
        <f>G$61*G$59*'User Inputs and Savings'!F66*G$48*G78*HLOOKUP(G$23,'Equipment and SOO'!$I$47:$K$56,$A108,FALSE)*G$33</f>
        <v>#N/A</v>
      </c>
      <c r="H108" s="528" t="e">
        <f>H$61*H$59*'User Inputs and Savings'!G66*H$48*H78*HLOOKUP(H$23,'Equipment and SOO'!$I$47:$K$56,$A108,FALSE)*H$33</f>
        <v>#N/A</v>
      </c>
      <c r="I108" s="529" t="e">
        <f t="shared" si="14"/>
        <v>#N/A</v>
      </c>
      <c r="J108" s="764" t="s">
        <v>766</v>
      </c>
      <c r="K108" s="335"/>
    </row>
    <row r="109" spans="1:20" s="147" customFormat="1" ht="29.1">
      <c r="A109" s="147">
        <v>9</v>
      </c>
      <c r="B109" s="506"/>
      <c r="C109" s="513" t="s">
        <v>352</v>
      </c>
      <c r="D109" s="528" t="e">
        <f>D$61*D$59*'User Inputs and Savings'!C67*D$48*D79*HLOOKUP(D$23,'Equipment and SOO'!$I$47:$K$56,$A109,FALSE)*D$33</f>
        <v>#N/A</v>
      </c>
      <c r="E109" s="528" t="e">
        <f>E$61*E$59*'User Inputs and Savings'!D67*E$48*E79*HLOOKUP(E$23,'Equipment and SOO'!$I$47:$K$56,$A109,FALSE)*E$33</f>
        <v>#N/A</v>
      </c>
      <c r="F109" s="528" t="e">
        <f>F$61*F$59*'User Inputs and Savings'!E67*F$48*F79*HLOOKUP(F$23,'Equipment and SOO'!$I$47:$K$56,$A109,FALSE)*F$33</f>
        <v>#N/A</v>
      </c>
      <c r="G109" s="528" t="e">
        <f>G$61*G$59*'User Inputs and Savings'!F67*G$48*G79*HLOOKUP(G$23,'Equipment and SOO'!$I$47:$K$56,$A109,FALSE)*G$33</f>
        <v>#N/A</v>
      </c>
      <c r="H109" s="528" t="e">
        <f>H$61*H$59*'User Inputs and Savings'!G67*H$48*H79*HLOOKUP(H$23,'Equipment and SOO'!$I$47:$K$56,$A109,FALSE)*H$33</f>
        <v>#N/A</v>
      </c>
      <c r="I109" s="529" t="e">
        <f t="shared" si="14"/>
        <v>#N/A</v>
      </c>
      <c r="J109" s="764" t="s">
        <v>766</v>
      </c>
      <c r="K109" s="335"/>
    </row>
    <row r="110" spans="1:20" s="147" customFormat="1" ht="29.1">
      <c r="A110" s="147">
        <v>10</v>
      </c>
      <c r="B110" s="506"/>
      <c r="C110" s="513" t="s">
        <v>162</v>
      </c>
      <c r="D110" s="528" t="e">
        <f>D$61*D$59*'User Inputs and Savings'!C68*D$48*D80*HLOOKUP(D$23,'Equipment and SOO'!$I$47:$K$56,$A110,FALSE)</f>
        <v>#N/A</v>
      </c>
      <c r="E110" s="528" t="e">
        <f>E$61*E$59*'User Inputs and Savings'!D68*E$48*E80*HLOOKUP(E$23,'Equipment and SOO'!$I$47:$K$56,$A110,FALSE)</f>
        <v>#N/A</v>
      </c>
      <c r="F110" s="528" t="e">
        <f>F$61*F$59*'User Inputs and Savings'!E68*F$48*F80*HLOOKUP(F$23,'Equipment and SOO'!$I$47:$K$56,$A110,FALSE)</f>
        <v>#N/A</v>
      </c>
      <c r="G110" s="528" t="e">
        <f>G$61*G$59*'User Inputs and Savings'!F68*G$48*G80*HLOOKUP(G$23,'Equipment and SOO'!$I$47:$K$56,$A110,FALSE)</f>
        <v>#N/A</v>
      </c>
      <c r="H110" s="528" t="e">
        <f>H$61*H$59*'User Inputs and Savings'!G68*H$48*H80*HLOOKUP(H$23,'Equipment and SOO'!$I$47:$K$56,$A110,FALSE)</f>
        <v>#N/A</v>
      </c>
      <c r="I110" s="529" t="e">
        <f t="shared" si="14"/>
        <v>#N/A</v>
      </c>
      <c r="J110" s="764" t="s">
        <v>764</v>
      </c>
      <c r="K110" s="335"/>
    </row>
    <row r="111" spans="1:20" s="147" customFormat="1">
      <c r="A111" s="147">
        <v>2</v>
      </c>
      <c r="B111" s="507" t="s">
        <v>759</v>
      </c>
      <c r="C111" s="514" t="s">
        <v>342</v>
      </c>
      <c r="D111" s="1287" t="e">
        <f>D$63*D$58*'User Inputs and Savings'!C60*D$48*D81*HLOOKUP(D$23,'Equipment and SOO'!$I$47:$K$56,$A111,FALSE)*D$32</f>
        <v>#N/A</v>
      </c>
      <c r="E111" s="530" t="e">
        <f>E$63*E$58*'User Inputs and Savings'!D60*E$48*E81*HLOOKUP(E$23,'Equipment and SOO'!$I$47:$K$56,$A111,FALSE)*E$32</f>
        <v>#N/A</v>
      </c>
      <c r="F111" s="530" t="e">
        <f>F$63*F$58*'User Inputs and Savings'!E60*F$48*F81*HLOOKUP(F$23,'Equipment and SOO'!$I$47:$K$56,$A111,FALSE)*F$32</f>
        <v>#N/A</v>
      </c>
      <c r="G111" s="530" t="e">
        <f>G$63*G$58*'User Inputs and Savings'!F60*G$48*G81*HLOOKUP(G$23,'Equipment and SOO'!$I$47:$K$56,$A111,FALSE)*G$32</f>
        <v>#N/A</v>
      </c>
      <c r="H111" s="530" t="e">
        <f>H$63*H$58*'User Inputs and Savings'!G60*H$48*H81*HLOOKUP(H$23,'Equipment and SOO'!$I$47:$K$56,$A111,FALSE)*H$32</f>
        <v>#N/A</v>
      </c>
      <c r="I111" s="531" t="e">
        <f t="shared" ref="I111:I119" si="15">SUM(D111:H111)</f>
        <v>#N/A</v>
      </c>
      <c r="J111" s="763" t="s">
        <v>767</v>
      </c>
      <c r="K111" s="335"/>
    </row>
    <row r="112" spans="1:20" s="147" customFormat="1">
      <c r="A112" s="147">
        <v>3</v>
      </c>
      <c r="B112" s="507"/>
      <c r="C112" s="515" t="s">
        <v>345</v>
      </c>
      <c r="D112" s="530" t="e">
        <f>D$63*D$58*'User Inputs and Savings'!C61*D$48*D82*HLOOKUP(D$23,'Equipment and SOO'!$I$47:$K$56,$A112,FALSE)</f>
        <v>#N/A</v>
      </c>
      <c r="E112" s="530" t="e">
        <f>E$63*E$58*'User Inputs and Savings'!D61*E$48*E82*HLOOKUP(E$23,'Equipment and SOO'!$I$47:$K$56,$A112,FALSE)</f>
        <v>#N/A</v>
      </c>
      <c r="F112" s="530" t="e">
        <f>F$63*F$58*'User Inputs and Savings'!E61*F$48*F82*HLOOKUP(F$23,'Equipment and SOO'!$I$47:$K$56,$A112,FALSE)</f>
        <v>#N/A</v>
      </c>
      <c r="G112" s="530" t="e">
        <f>G$63*G$58*'User Inputs and Savings'!F61*G$48*G82*HLOOKUP(G$23,'Equipment and SOO'!$I$47:$K$56,$A112,FALSE)</f>
        <v>#N/A</v>
      </c>
      <c r="H112" s="530" t="e">
        <f>H$63*H$58*'User Inputs and Savings'!G61*H$48*H82*HLOOKUP(H$23,'Equipment and SOO'!$I$47:$K$56,$A112,FALSE)</f>
        <v>#N/A</v>
      </c>
      <c r="I112" s="531" t="e">
        <f t="shared" si="15"/>
        <v>#N/A</v>
      </c>
      <c r="J112" s="763"/>
      <c r="K112" s="335"/>
    </row>
    <row r="113" spans="1:13" s="147" customFormat="1">
      <c r="A113" s="147">
        <v>4</v>
      </c>
      <c r="B113" s="507"/>
      <c r="C113" s="515" t="s">
        <v>160</v>
      </c>
      <c r="D113" s="530" t="e">
        <f>D$63*D$58*'User Inputs and Savings'!C62*D$48*D83*HLOOKUP(D$23,'Equipment and SOO'!$I$47:$K$56,$A113,FALSE)</f>
        <v>#N/A</v>
      </c>
      <c r="E113" s="530" t="e">
        <f>E$63*E$58*'User Inputs and Savings'!D62*E$48*E83*HLOOKUP(E$23,'Equipment and SOO'!$I$47:$K$56,$A113,FALSE)</f>
        <v>#N/A</v>
      </c>
      <c r="F113" s="530" t="e">
        <f>F$63*F$58*'User Inputs and Savings'!E62*F$48*F83*HLOOKUP(F$23,'Equipment and SOO'!$I$47:$K$56,$A113,FALSE)</f>
        <v>#N/A</v>
      </c>
      <c r="G113" s="530" t="e">
        <f>G$63*G$58*'User Inputs and Savings'!F62*G$48*G83*HLOOKUP(G$23,'Equipment and SOO'!$I$47:$K$56,$A113,FALSE)</f>
        <v>#N/A</v>
      </c>
      <c r="H113" s="530" t="e">
        <f>H$63*H$58*'User Inputs and Savings'!G62*H$48*H83*HLOOKUP(H$23,'Equipment and SOO'!$I$47:$K$56,$A113,FALSE)</f>
        <v>#N/A</v>
      </c>
      <c r="I113" s="531" t="e">
        <f t="shared" si="15"/>
        <v>#N/A</v>
      </c>
      <c r="J113" s="763"/>
      <c r="K113" s="335"/>
    </row>
    <row r="114" spans="1:13" s="147" customFormat="1">
      <c r="A114" s="147">
        <v>5</v>
      </c>
      <c r="B114" s="507"/>
      <c r="C114" s="515" t="s">
        <v>175</v>
      </c>
      <c r="D114" s="530" t="e">
        <f>D$63*D$58*'User Inputs and Savings'!C63*D$48*D84*HLOOKUP(D$23,'Equipment and SOO'!$I$47:$K$56,$A114,FALSE)</f>
        <v>#N/A</v>
      </c>
      <c r="E114" s="530" t="e">
        <f>E$63*E$58*'User Inputs and Savings'!D63*E$48*E84*HLOOKUP(E$23,'Equipment and SOO'!$I$47:$K$56,$A114,FALSE)</f>
        <v>#N/A</v>
      </c>
      <c r="F114" s="530" t="e">
        <f>F$63*F$58*'User Inputs and Savings'!E63*F$48*F84*HLOOKUP(F$23,'Equipment and SOO'!$I$47:$K$56,$A114,FALSE)</f>
        <v>#N/A</v>
      </c>
      <c r="G114" s="530" t="e">
        <f>G$63*G$58*'User Inputs and Savings'!F63*G$48*G84*HLOOKUP(G$23,'Equipment and SOO'!$I$47:$K$56,$A114,FALSE)</f>
        <v>#N/A</v>
      </c>
      <c r="H114" s="530" t="e">
        <f>H$63*H$58*'User Inputs and Savings'!G63*H$48*H84*HLOOKUP(H$23,'Equipment and SOO'!$I$47:$K$56,$A114,FALSE)</f>
        <v>#N/A</v>
      </c>
      <c r="I114" s="531" t="e">
        <f t="shared" si="15"/>
        <v>#N/A</v>
      </c>
      <c r="J114" s="763"/>
      <c r="K114" s="335"/>
    </row>
    <row r="115" spans="1:13" s="147" customFormat="1">
      <c r="A115" s="147">
        <v>6</v>
      </c>
      <c r="B115" s="507"/>
      <c r="C115" s="515" t="s">
        <v>151</v>
      </c>
      <c r="D115" s="530" t="e">
        <f>D$63*D$58*'User Inputs and Savings'!C64*D$48*D85*HLOOKUP(D$23,'Equipment and SOO'!$I$47:$K$56,$A115,FALSE)</f>
        <v>#N/A</v>
      </c>
      <c r="E115" s="530" t="e">
        <f>E$63*E$58*'User Inputs and Savings'!D64*E$48*E85*HLOOKUP(E$23,'Equipment and SOO'!$I$47:$K$56,$A115,FALSE)</f>
        <v>#N/A</v>
      </c>
      <c r="F115" s="530" t="e">
        <f>F$63*F$58*'User Inputs and Savings'!E64*F$48*F85*HLOOKUP(F$23,'Equipment and SOO'!$I$47:$K$56,$A115,FALSE)</f>
        <v>#N/A</v>
      </c>
      <c r="G115" s="530" t="e">
        <f>G$63*G$58*'User Inputs and Savings'!F64*G$48*G85*HLOOKUP(G$23,'Equipment and SOO'!$I$47:$K$56,$A115,FALSE)</f>
        <v>#N/A</v>
      </c>
      <c r="H115" s="530" t="e">
        <f>H$63*H$58*'User Inputs and Savings'!G64*H$48*H85*HLOOKUP(H$23,'Equipment and SOO'!$I$47:$K$56,$A115,FALSE)</f>
        <v>#N/A</v>
      </c>
      <c r="I115" s="531" t="e">
        <f t="shared" si="15"/>
        <v>#N/A</v>
      </c>
      <c r="J115" s="763"/>
      <c r="K115" s="335"/>
    </row>
    <row r="116" spans="1:13" s="147" customFormat="1">
      <c r="A116" s="147">
        <v>7</v>
      </c>
      <c r="B116" s="507"/>
      <c r="C116" s="515" t="s">
        <v>349</v>
      </c>
      <c r="D116" s="530" t="e">
        <f>D$63*D$58*'User Inputs and Savings'!C65*D$48*D86*HLOOKUP(D$23,'Equipment and SOO'!$I$47:$K$56,$A116,FALSE)*D$33</f>
        <v>#N/A</v>
      </c>
      <c r="E116" s="530" t="e">
        <f>E$63*E$58*'User Inputs and Savings'!D65*E$48*E86*HLOOKUP(E$23,'Equipment and SOO'!$I$47:$K$56,$A116,FALSE)*E$33</f>
        <v>#N/A</v>
      </c>
      <c r="F116" s="530" t="e">
        <f>F$63*F$58*'User Inputs and Savings'!E65*F$48*F86*HLOOKUP(F$23,'Equipment and SOO'!$I$47:$K$56,$A116,FALSE)*F$33</f>
        <v>#N/A</v>
      </c>
      <c r="G116" s="530" t="e">
        <f>G$63*G$58*'User Inputs and Savings'!F65*G$48*G86*HLOOKUP(G$23,'Equipment and SOO'!$I$47:$K$56,$A116,FALSE)*G$33</f>
        <v>#N/A</v>
      </c>
      <c r="H116" s="530" t="e">
        <f>H$63*H$58*'User Inputs and Savings'!G65*H$48*H86*HLOOKUP(H$23,'Equipment and SOO'!$I$47:$K$56,$A116,FALSE)*H$33</f>
        <v>#N/A</v>
      </c>
      <c r="I116" s="531" t="e">
        <f t="shared" si="15"/>
        <v>#N/A</v>
      </c>
      <c r="J116" s="763" t="s">
        <v>768</v>
      </c>
      <c r="K116" s="335"/>
    </row>
    <row r="117" spans="1:13" s="147" customFormat="1" ht="29.1">
      <c r="A117" s="147">
        <v>8</v>
      </c>
      <c r="B117" s="507"/>
      <c r="C117" s="515" t="s">
        <v>177</v>
      </c>
      <c r="D117" s="530" t="e">
        <f>D$63*D$58*'User Inputs and Savings'!C66*D$48*D87*HLOOKUP(D$23,'Equipment and SOO'!$I$47:$K$56,$A117,FALSE)*D$33</f>
        <v>#N/A</v>
      </c>
      <c r="E117" s="530" t="e">
        <f>E$63*E$58*'User Inputs and Savings'!D66*E$48*E87*HLOOKUP(E$23,'Equipment and SOO'!$I$47:$K$56,$A117,FALSE)*E$33</f>
        <v>#N/A</v>
      </c>
      <c r="F117" s="530" t="e">
        <f>F$63*F$58*'User Inputs and Savings'!E66*F$48*F87*HLOOKUP(F$23,'Equipment and SOO'!$I$47:$K$56,$A117,FALSE)*F$33</f>
        <v>#N/A</v>
      </c>
      <c r="G117" s="530" t="e">
        <f>G$63*G$58*'User Inputs and Savings'!F66*G$48*G87*HLOOKUP(G$23,'Equipment and SOO'!$I$47:$K$56,$A117,FALSE)*G$33</f>
        <v>#N/A</v>
      </c>
      <c r="H117" s="530" t="e">
        <f>H$63*H$58*'User Inputs and Savings'!G66*H$48*H87*HLOOKUP(H$23,'Equipment and SOO'!$I$47:$K$56,$A117,FALSE)*H$33</f>
        <v>#N/A</v>
      </c>
      <c r="I117" s="531" t="e">
        <f t="shared" si="15"/>
        <v>#N/A</v>
      </c>
      <c r="J117" s="763" t="s">
        <v>768</v>
      </c>
      <c r="K117" s="335"/>
    </row>
    <row r="118" spans="1:13" s="147" customFormat="1" ht="29.1">
      <c r="A118" s="147">
        <v>9</v>
      </c>
      <c r="B118" s="507"/>
      <c r="C118" s="515" t="s">
        <v>352</v>
      </c>
      <c r="D118" s="530" t="e">
        <f>D$63*D$58*'User Inputs and Savings'!C67*D$48*D88*HLOOKUP(D$23,'Equipment and SOO'!$I$47:$K$56,$A118,FALSE)*D$33</f>
        <v>#N/A</v>
      </c>
      <c r="E118" s="530" t="e">
        <f>E$63*E$58*'User Inputs and Savings'!D67*E$48*E88*HLOOKUP(E$23,'Equipment and SOO'!$I$47:$K$56,$A118,FALSE)*E$33</f>
        <v>#N/A</v>
      </c>
      <c r="F118" s="530" t="e">
        <f>F$63*F$58*'User Inputs and Savings'!E67*F$48*F88*HLOOKUP(F$23,'Equipment and SOO'!$I$47:$K$56,$A118,FALSE)*F$33</f>
        <v>#N/A</v>
      </c>
      <c r="G118" s="530" t="e">
        <f>G$63*G$58*'User Inputs and Savings'!F67*G$48*G88*HLOOKUP(G$23,'Equipment and SOO'!$I$47:$K$56,$A118,FALSE)*G$33</f>
        <v>#N/A</v>
      </c>
      <c r="H118" s="530" t="e">
        <f>H$63*H$58*'User Inputs and Savings'!G67*H$48*H88*HLOOKUP(H$23,'Equipment and SOO'!$I$47:$K$56,$A118,FALSE)*H$33</f>
        <v>#N/A</v>
      </c>
      <c r="I118" s="531" t="e">
        <f t="shared" si="15"/>
        <v>#N/A</v>
      </c>
      <c r="J118" s="763" t="s">
        <v>768</v>
      </c>
      <c r="K118" s="335"/>
    </row>
    <row r="119" spans="1:13" s="147" customFormat="1" ht="29.1">
      <c r="A119" s="147">
        <v>10</v>
      </c>
      <c r="B119" s="507"/>
      <c r="C119" s="515" t="s">
        <v>162</v>
      </c>
      <c r="D119" s="530" t="e">
        <f>D$63*D$58*'User Inputs and Savings'!C68*D$48*D89*HLOOKUP(D$23,'Equipment and SOO'!$I$47:$K$56,$A119,FALSE)</f>
        <v>#N/A</v>
      </c>
      <c r="E119" s="530" t="e">
        <f>E$63*E$58*'User Inputs and Savings'!D68*E$48*E89*HLOOKUP(E$23,'Equipment and SOO'!$I$47:$K$56,$A119,FALSE)</f>
        <v>#N/A</v>
      </c>
      <c r="F119" s="530" t="e">
        <f>F$63*F$58*'User Inputs and Savings'!E68*F$48*F89*HLOOKUP(F$23,'Equipment and SOO'!$I$47:$K$56,$A119,FALSE)</f>
        <v>#N/A</v>
      </c>
      <c r="G119" s="530" t="e">
        <f>G$63*G$58*'User Inputs and Savings'!F68*G$48*G89*HLOOKUP(G$23,'Equipment and SOO'!$I$47:$K$56,$A119,FALSE)</f>
        <v>#N/A</v>
      </c>
      <c r="H119" s="530" t="e">
        <f>H$63*H$58*'User Inputs and Savings'!G68*H$48*H89*HLOOKUP(H$23,'Equipment and SOO'!$I$47:$K$56,$A119,FALSE)</f>
        <v>#N/A</v>
      </c>
      <c r="I119" s="531" t="e">
        <f t="shared" si="15"/>
        <v>#N/A</v>
      </c>
      <c r="J119" s="763"/>
      <c r="K119" s="335"/>
    </row>
    <row r="120" spans="1:13" s="147" customFormat="1">
      <c r="A120" s="147">
        <v>2</v>
      </c>
      <c r="B120" s="508" t="s">
        <v>760</v>
      </c>
      <c r="C120" s="516" t="s">
        <v>342</v>
      </c>
      <c r="D120" s="1288" t="e">
        <f>D$63*D$56*'User Inputs and Savings'!C60*D$48*D90*HLOOKUP(D$23,'Equipment and SOO'!$I$47:$K$56,$A120,FALSE)</f>
        <v>#N/A</v>
      </c>
      <c r="E120" s="532" t="e">
        <f>E$63*E$56*'User Inputs and Savings'!D60*E$48*E90*HLOOKUP(E$23,'Equipment and SOO'!$I$47:$K$56,$A120,FALSE)</f>
        <v>#N/A</v>
      </c>
      <c r="F120" s="532" t="e">
        <f>F$63*F$56*'User Inputs and Savings'!E60*F$48*F90*HLOOKUP(F$23,'Equipment and SOO'!$I$47:$K$56,$A120,FALSE)</f>
        <v>#N/A</v>
      </c>
      <c r="G120" s="532" t="e">
        <f>G$63*G$56*'User Inputs and Savings'!F60*G$48*G90*HLOOKUP(G$23,'Equipment and SOO'!$I$47:$K$56,$A120,FALSE)</f>
        <v>#N/A</v>
      </c>
      <c r="H120" s="532" t="e">
        <f>H$63*H$56*'User Inputs and Savings'!G60*H$48*H90*HLOOKUP(H$23,'Equipment and SOO'!$I$47:$K$56,$A120,FALSE)</f>
        <v>#N/A</v>
      </c>
      <c r="I120" s="533" t="e">
        <f t="shared" ref="I120:I128" si="16">SUM(D120:H120)</f>
        <v>#N/A</v>
      </c>
      <c r="J120" s="765"/>
      <c r="K120" s="534"/>
    </row>
    <row r="121" spans="1:13" s="147" customFormat="1">
      <c r="A121" s="147">
        <v>3</v>
      </c>
      <c r="B121" s="508"/>
      <c r="C121" s="517" t="s">
        <v>345</v>
      </c>
      <c r="D121" s="532" t="e">
        <f>D$63*D$56*'User Inputs and Savings'!C61*D$48*D91*HLOOKUP(D$23,'Equipment and SOO'!$I$47:$K$56,$A121,FALSE)</f>
        <v>#N/A</v>
      </c>
      <c r="E121" s="532" t="e">
        <f>E$63*E$56*'User Inputs and Savings'!D61*E$48*E91*HLOOKUP(E$23,'Equipment and SOO'!$I$47:$K$56,$A121,FALSE)</f>
        <v>#N/A</v>
      </c>
      <c r="F121" s="532" t="e">
        <f>F$63*F$56*'User Inputs and Savings'!E61*F$48*F91*HLOOKUP(F$23,'Equipment and SOO'!$I$47:$K$56,$A121,FALSE)</f>
        <v>#N/A</v>
      </c>
      <c r="G121" s="532" t="e">
        <f>G$63*G$56*'User Inputs and Savings'!F61*G$48*G91*HLOOKUP(G$23,'Equipment and SOO'!$I$47:$K$56,$A121,FALSE)</f>
        <v>#N/A</v>
      </c>
      <c r="H121" s="532" t="e">
        <f>H$63*H$56*'User Inputs and Savings'!G61*H$48*H91*HLOOKUP(H$23,'Equipment and SOO'!$I$47:$K$56,$A121,FALSE)</f>
        <v>#N/A</v>
      </c>
      <c r="I121" s="533" t="e">
        <f t="shared" si="16"/>
        <v>#N/A</v>
      </c>
      <c r="J121" s="765"/>
      <c r="K121" s="335"/>
    </row>
    <row r="122" spans="1:13" s="147" customFormat="1">
      <c r="A122" s="147">
        <v>4</v>
      </c>
      <c r="B122" s="508"/>
      <c r="C122" s="517" t="s">
        <v>160</v>
      </c>
      <c r="D122" s="532" t="e">
        <f>D$63*D$56*'User Inputs and Savings'!C62*D$48*D92*HLOOKUP(D$23,'Equipment and SOO'!$I$47:$K$56,$A122,FALSE)</f>
        <v>#N/A</v>
      </c>
      <c r="E122" s="532" t="e">
        <f>E$63*E$56*'User Inputs and Savings'!D62*E$48*E92*HLOOKUP(E$23,'Equipment and SOO'!$I$47:$K$56,$A122,FALSE)</f>
        <v>#N/A</v>
      </c>
      <c r="F122" s="532" t="e">
        <f>F$63*F$56*'User Inputs and Savings'!E62*F$48*F92*HLOOKUP(F$23,'Equipment and SOO'!$I$47:$K$56,$A122,FALSE)</f>
        <v>#N/A</v>
      </c>
      <c r="G122" s="532" t="e">
        <f>G$63*G$56*'User Inputs and Savings'!F62*G$48*G92*HLOOKUP(G$23,'Equipment and SOO'!$I$47:$K$56,$A122,FALSE)</f>
        <v>#N/A</v>
      </c>
      <c r="H122" s="532" t="e">
        <f>H$63*H$56*'User Inputs and Savings'!G62*H$48*H92*HLOOKUP(H$23,'Equipment and SOO'!$I$47:$K$56,$A122,FALSE)</f>
        <v>#N/A</v>
      </c>
      <c r="I122" s="533" t="e">
        <f t="shared" si="16"/>
        <v>#N/A</v>
      </c>
      <c r="J122" s="765"/>
      <c r="K122" s="535"/>
    </row>
    <row r="123" spans="1:13" s="147" customFormat="1">
      <c r="A123" s="147">
        <v>5</v>
      </c>
      <c r="B123" s="508"/>
      <c r="C123" s="517" t="s">
        <v>175</v>
      </c>
      <c r="D123" s="532" t="e">
        <f>D$63*D$56*'User Inputs and Savings'!C63*D$48*D93*HLOOKUP(D$23,'Equipment and SOO'!$I$47:$K$56,$A123,FALSE)</f>
        <v>#N/A</v>
      </c>
      <c r="E123" s="532" t="e">
        <f>E$63*E$56*'User Inputs and Savings'!D63*E$48*E93*HLOOKUP(E$23,'Equipment and SOO'!$I$47:$K$56,$A123,FALSE)</f>
        <v>#N/A</v>
      </c>
      <c r="F123" s="532" t="e">
        <f>F$63*F$56*'User Inputs and Savings'!E63*F$48*F93*HLOOKUP(F$23,'Equipment and SOO'!$I$47:$K$56,$A123,FALSE)</f>
        <v>#N/A</v>
      </c>
      <c r="G123" s="532" t="e">
        <f>G$63*G$56*'User Inputs and Savings'!F63*G$48*G93*HLOOKUP(G$23,'Equipment and SOO'!$I$47:$K$56,$A123,FALSE)</f>
        <v>#N/A</v>
      </c>
      <c r="H123" s="532" t="e">
        <f>H$63*H$56*'User Inputs and Savings'!G63*H$48*H93*HLOOKUP(H$23,'Equipment and SOO'!$I$47:$K$56,$A123,FALSE)</f>
        <v>#N/A</v>
      </c>
      <c r="I123" s="533" t="e">
        <f t="shared" si="16"/>
        <v>#N/A</v>
      </c>
      <c r="J123" s="765"/>
      <c r="K123" s="335"/>
    </row>
    <row r="124" spans="1:13" s="147" customFormat="1">
      <c r="A124" s="147">
        <v>6</v>
      </c>
      <c r="B124" s="508"/>
      <c r="C124" s="517" t="s">
        <v>151</v>
      </c>
      <c r="D124" s="532" t="e">
        <f>D$63*D$56*'User Inputs and Savings'!C64*D$48*D94*HLOOKUP(D$23,'Equipment and SOO'!$I$47:$K$56,$A124,FALSE)</f>
        <v>#N/A</v>
      </c>
      <c r="E124" s="532" t="e">
        <f>E$63*E$56*'User Inputs and Savings'!D64*E$48*E94*HLOOKUP(E$23,'Equipment and SOO'!$I$47:$K$56,$A124,FALSE)</f>
        <v>#N/A</v>
      </c>
      <c r="F124" s="532" t="e">
        <f>F$63*F$56*'User Inputs and Savings'!E64*F$48*F94*HLOOKUP(F$23,'Equipment and SOO'!$I$47:$K$56,$A124,FALSE)</f>
        <v>#N/A</v>
      </c>
      <c r="G124" s="532" t="e">
        <f>G$63*G$56*'User Inputs and Savings'!F64*G$48*G94*HLOOKUP(G$23,'Equipment and SOO'!$I$47:$K$56,$A124,FALSE)</f>
        <v>#N/A</v>
      </c>
      <c r="H124" s="532" t="e">
        <f>H$63*H$56*'User Inputs and Savings'!G64*H$48*H94*HLOOKUP(H$23,'Equipment and SOO'!$I$47:$K$56,$A124,FALSE)</f>
        <v>#N/A</v>
      </c>
      <c r="I124" s="533" t="e">
        <f t="shared" si="16"/>
        <v>#N/A</v>
      </c>
      <c r="J124" s="765"/>
      <c r="K124" s="335"/>
      <c r="L124" s="328"/>
    </row>
    <row r="125" spans="1:13" s="147" customFormat="1">
      <c r="A125" s="147">
        <v>7</v>
      </c>
      <c r="B125" s="508"/>
      <c r="C125" s="517" t="s">
        <v>349</v>
      </c>
      <c r="D125" s="532" t="e">
        <f>D$63*D$56*'User Inputs and Savings'!C65*D$48*D95*HLOOKUP(D$23,'Equipment and SOO'!$I$47:$K$56,$A125,FALSE)*D$33</f>
        <v>#N/A</v>
      </c>
      <c r="E125" s="532" t="e">
        <f>E$63*E$56*'User Inputs and Savings'!D65*E$48*E95*HLOOKUP(E$23,'Equipment and SOO'!$I$47:$K$56,$A125,FALSE)*E$33</f>
        <v>#N/A</v>
      </c>
      <c r="F125" s="532" t="e">
        <f>F$63*F$56*'User Inputs and Savings'!E65*F$48*F95*HLOOKUP(F$23,'Equipment and SOO'!$I$47:$K$56,$A125,FALSE)*F$33</f>
        <v>#N/A</v>
      </c>
      <c r="G125" s="532" t="e">
        <f>G$63*G$56*'User Inputs and Savings'!F65*G$48*G95*HLOOKUP(G$23,'Equipment and SOO'!$I$47:$K$56,$A125,FALSE)*G$33</f>
        <v>#N/A</v>
      </c>
      <c r="H125" s="532" t="e">
        <f>H$63*H$56*'User Inputs and Savings'!G65*H$48*H95*HLOOKUP(H$23,'Equipment and SOO'!$I$47:$K$56,$A125,FALSE)*H$33</f>
        <v>#N/A</v>
      </c>
      <c r="I125" s="533" t="e">
        <f t="shared" si="16"/>
        <v>#N/A</v>
      </c>
      <c r="J125" s="765" t="s">
        <v>768</v>
      </c>
      <c r="K125" s="335"/>
    </row>
    <row r="126" spans="1:13" s="147" customFormat="1" ht="29.1">
      <c r="A126" s="147">
        <v>8</v>
      </c>
      <c r="B126" s="508"/>
      <c r="C126" s="517" t="s">
        <v>177</v>
      </c>
      <c r="D126" s="532" t="e">
        <f>D$63*D$56*'User Inputs and Savings'!C66*D$48*D96*HLOOKUP(D$23,'Equipment and SOO'!$I$47:$K$56,$A126,FALSE)*D$33</f>
        <v>#N/A</v>
      </c>
      <c r="E126" s="532" t="e">
        <f>E$63*E$56*'User Inputs and Savings'!D66*E$48*E96*HLOOKUP(E$23,'Equipment and SOO'!$I$47:$K$56,$A126,FALSE)*E$33</f>
        <v>#N/A</v>
      </c>
      <c r="F126" s="532" t="e">
        <f>F$63*F$56*'User Inputs and Savings'!E66*F$48*F96*HLOOKUP(F$23,'Equipment and SOO'!$I$47:$K$56,$A126,FALSE)*F$33</f>
        <v>#N/A</v>
      </c>
      <c r="G126" s="532" t="e">
        <f>G$63*G$56*'User Inputs and Savings'!F66*G$48*G96*HLOOKUP(G$23,'Equipment and SOO'!$I$47:$K$56,$A126,FALSE)*G$33</f>
        <v>#N/A</v>
      </c>
      <c r="H126" s="532" t="e">
        <f>H$63*H$56*'User Inputs and Savings'!G66*H$48*H96*HLOOKUP(H$23,'Equipment and SOO'!$I$47:$K$56,$A126,FALSE)*H$33</f>
        <v>#N/A</v>
      </c>
      <c r="I126" s="533" t="e">
        <f t="shared" si="16"/>
        <v>#N/A</v>
      </c>
      <c r="J126" s="765" t="s">
        <v>768</v>
      </c>
      <c r="K126" s="335"/>
    </row>
    <row r="127" spans="1:13" s="147" customFormat="1" ht="29.1">
      <c r="A127" s="147">
        <v>9</v>
      </c>
      <c r="B127" s="508"/>
      <c r="C127" s="517" t="s">
        <v>352</v>
      </c>
      <c r="D127" s="532" t="e">
        <f>D$63*D$56*'User Inputs and Savings'!C67*D$48*D97*HLOOKUP(D$23,'Equipment and SOO'!$I$47:$K$56,$A127,FALSE)*D$33</f>
        <v>#N/A</v>
      </c>
      <c r="E127" s="532" t="e">
        <f>E$63*E$56*'User Inputs and Savings'!D67*E$48*E97*HLOOKUP(E$23,'Equipment and SOO'!$I$47:$K$56,$A127,FALSE)*E$33</f>
        <v>#N/A</v>
      </c>
      <c r="F127" s="532" t="e">
        <f>F$63*F$56*'User Inputs and Savings'!E67*F$48*F97*HLOOKUP(F$23,'Equipment and SOO'!$I$47:$K$56,$A127,FALSE)*F$33</f>
        <v>#N/A</v>
      </c>
      <c r="G127" s="532" t="e">
        <f>G$63*G$56*'User Inputs and Savings'!F67*G$48*G97*HLOOKUP(G$23,'Equipment and SOO'!$I$47:$K$56,$A127,FALSE)*G$33</f>
        <v>#N/A</v>
      </c>
      <c r="H127" s="532" t="e">
        <f>H$63*H$56*'User Inputs and Savings'!G67*H$48*H97*HLOOKUP(H$23,'Equipment and SOO'!$I$47:$K$56,$A127,FALSE)*H$33</f>
        <v>#N/A</v>
      </c>
      <c r="I127" s="533" t="e">
        <f t="shared" si="16"/>
        <v>#N/A</v>
      </c>
      <c r="J127" s="765" t="s">
        <v>768</v>
      </c>
      <c r="K127" s="335"/>
      <c r="M127" s="1033"/>
    </row>
    <row r="128" spans="1:13" s="147" customFormat="1" ht="39.6" customHeight="1">
      <c r="A128" s="147">
        <v>10</v>
      </c>
      <c r="B128" s="508"/>
      <c r="C128" s="517" t="s">
        <v>162</v>
      </c>
      <c r="D128" s="532" t="e">
        <f>D$63*D$56*'User Inputs and Savings'!C68*D$48*D98*HLOOKUP(D$23,'Equipment and SOO'!$I$47:$K$56,$A128,FALSE)</f>
        <v>#N/A</v>
      </c>
      <c r="E128" s="532" t="e">
        <f>E$63*E$56*'User Inputs and Savings'!D68*E$48*E98*HLOOKUP(E$23,'Equipment and SOO'!$I$47:$K$56,$A128,FALSE)</f>
        <v>#N/A</v>
      </c>
      <c r="F128" s="532" t="e">
        <f>F$63*F$56*'User Inputs and Savings'!E68*F$48*F98*HLOOKUP(F$23,'Equipment and SOO'!$I$47:$K$56,$A128,FALSE)</f>
        <v>#N/A</v>
      </c>
      <c r="G128" s="532" t="e">
        <f>G$63*G$56*'User Inputs and Savings'!F68*G$48*G98*HLOOKUP(G$23,'Equipment and SOO'!$I$47:$K$56,$A128,FALSE)</f>
        <v>#N/A</v>
      </c>
      <c r="H128" s="532" t="e">
        <f>H$63*H$56*'User Inputs and Savings'!G68*H$48*H98*HLOOKUP(H$23,'Equipment and SOO'!$I$47:$K$56,$A128,FALSE)</f>
        <v>#N/A</v>
      </c>
      <c r="I128" s="533" t="e">
        <f t="shared" si="16"/>
        <v>#N/A</v>
      </c>
      <c r="J128" s="765"/>
      <c r="K128" s="335"/>
      <c r="M128" s="1033"/>
    </row>
    <row r="129" spans="2:19" s="147" customFormat="1" ht="17.100000000000001" customHeight="1">
      <c r="B129" s="943" t="s">
        <v>769</v>
      </c>
      <c r="C129" s="944" t="s">
        <v>770</v>
      </c>
      <c r="D129" s="945" t="e">
        <f>(D104+SUM(D107:D110))*'User Inputs and Savings'!$J$38*'User Inputs and Savings'!C70*Assumptions!$D$94</f>
        <v>#N/A</v>
      </c>
      <c r="E129" s="945" t="e">
        <f>(E104+SUM(E107:E110))*'User Inputs and Savings'!$J$38*'User Inputs and Savings'!D70*Assumptions!$D$94</f>
        <v>#N/A</v>
      </c>
      <c r="F129" s="945" t="e">
        <f>(F104+SUM(F107:F110))*'User Inputs and Savings'!$J$38*'User Inputs and Savings'!E70*Assumptions!$D$94</f>
        <v>#N/A</v>
      </c>
      <c r="G129" s="945" t="e">
        <f>(G104+SUM(G107:G110))*'User Inputs and Savings'!$J$38*'User Inputs and Savings'!F70*Assumptions!$D$94</f>
        <v>#N/A</v>
      </c>
      <c r="H129" s="945" t="e">
        <f>(H104+SUM(H107:H110))*'User Inputs and Savings'!$J$38*'User Inputs and Savings'!G70*Assumptions!$D$94</f>
        <v>#N/A</v>
      </c>
      <c r="I129" s="946" t="e">
        <f>SUM(D129:H129)</f>
        <v>#N/A</v>
      </c>
      <c r="J129" s="946" t="s">
        <v>771</v>
      </c>
      <c r="K129" s="335"/>
      <c r="M129" s="1033"/>
    </row>
    <row r="130" spans="2:19" s="147" customFormat="1" ht="17.100000000000001" customHeight="1">
      <c r="B130" s="943"/>
      <c r="C130" s="947" t="s">
        <v>772</v>
      </c>
      <c r="D130" s="945" t="e">
        <f>SUM(D102:D103,D105)*'User Inputs and Savings'!$J$38*'User Inputs and Savings'!C71*Assumptions!$D$94</f>
        <v>#N/A</v>
      </c>
      <c r="E130" s="945" t="e">
        <f>SUM(E102:E103,E105)*'User Inputs and Savings'!$J$38*'User Inputs and Savings'!D71*Assumptions!$D$94</f>
        <v>#N/A</v>
      </c>
      <c r="F130" s="945" t="e">
        <f>SUM(F102:F103,F105)*'User Inputs and Savings'!$J$38*'User Inputs and Savings'!E71*Assumptions!$D$94</f>
        <v>#N/A</v>
      </c>
      <c r="G130" s="945" t="e">
        <f>SUM(G102:G103,G105)*'User Inputs and Savings'!$J$38*'User Inputs and Savings'!F71*Assumptions!$D$94</f>
        <v>#N/A</v>
      </c>
      <c r="H130" s="945" t="e">
        <f>SUM(H102:H103,H105)*'User Inputs and Savings'!$J$38*'User Inputs and Savings'!G71*Assumptions!$D$94</f>
        <v>#N/A</v>
      </c>
      <c r="I130" s="946" t="e">
        <f>SUM(D130:H130)</f>
        <v>#N/A</v>
      </c>
      <c r="J130" s="946"/>
      <c r="K130" s="335"/>
      <c r="M130" s="1033"/>
    </row>
    <row r="131" spans="2:19" s="147" customFormat="1" ht="17.100000000000001" customHeight="1">
      <c r="B131" s="943"/>
      <c r="C131" s="947" t="s">
        <v>565</v>
      </c>
      <c r="D131" s="945" t="e">
        <f>SUM(D120:D128)*'User Inputs and Savings'!C72*'User Inputs and Savings'!$J$38*Assumptions!$D$94</f>
        <v>#N/A</v>
      </c>
      <c r="E131" s="945" t="e">
        <f>SUM(E120:E128)*'User Inputs and Savings'!D72*'User Inputs and Savings'!$J$38*Assumptions!$D$94</f>
        <v>#N/A</v>
      </c>
      <c r="F131" s="945" t="e">
        <f>SUM(F120:F128)*'User Inputs and Savings'!E72*'User Inputs and Savings'!$J$38*Assumptions!$D$94</f>
        <v>#N/A</v>
      </c>
      <c r="G131" s="945" t="e">
        <f>SUM(G120:G128)*'User Inputs and Savings'!F72*'User Inputs and Savings'!$J$38*Assumptions!$D$94</f>
        <v>#N/A</v>
      </c>
      <c r="H131" s="945" t="e">
        <f>SUM(H120:H128)*'User Inputs and Savings'!G72*'User Inputs and Savings'!$J$38*Assumptions!$D$94</f>
        <v>#N/A</v>
      </c>
      <c r="I131" s="946" t="e">
        <f t="shared" ref="I131" si="17">SUM(D131:H131)</f>
        <v>#N/A</v>
      </c>
      <c r="J131" s="946"/>
      <c r="K131" s="335"/>
      <c r="M131" s="1033"/>
    </row>
    <row r="132" spans="2:19" s="147" customFormat="1" ht="17.100000000000001" customHeight="1">
      <c r="B132" s="793" t="s">
        <v>773</v>
      </c>
      <c r="C132" s="794" t="s">
        <v>774</v>
      </c>
      <c r="D132" s="795" t="e">
        <f>SUM(D102:D110)+D129+D130</f>
        <v>#N/A</v>
      </c>
      <c r="E132" s="795" t="e">
        <f t="shared" ref="E132:H132" si="18">SUM(E102:E110)+E129+E130</f>
        <v>#N/A</v>
      </c>
      <c r="F132" s="795" t="e">
        <f t="shared" si="18"/>
        <v>#N/A</v>
      </c>
      <c r="G132" s="795" t="e">
        <f t="shared" si="18"/>
        <v>#N/A</v>
      </c>
      <c r="H132" s="795" t="e">
        <f t="shared" si="18"/>
        <v>#N/A</v>
      </c>
      <c r="I132" s="795" t="e">
        <f>SUM(D132:H132)</f>
        <v>#N/A</v>
      </c>
      <c r="J132" s="783"/>
      <c r="L132" s="335"/>
      <c r="M132" s="1033"/>
    </row>
    <row r="133" spans="2:19" s="147" customFormat="1" ht="17.100000000000001" customHeight="1">
      <c r="B133" s="796"/>
      <c r="C133" s="797" t="s">
        <v>775</v>
      </c>
      <c r="D133" s="769" t="e">
        <f>SUM(D111:D119)</f>
        <v>#N/A</v>
      </c>
      <c r="E133" s="769" t="e">
        <f t="shared" ref="E133:H133" si="19">SUM(E111:E119)</f>
        <v>#N/A</v>
      </c>
      <c r="F133" s="769" t="e">
        <f t="shared" si="19"/>
        <v>#N/A</v>
      </c>
      <c r="G133" s="769" t="e">
        <f t="shared" si="19"/>
        <v>#N/A</v>
      </c>
      <c r="H133" s="769" t="e">
        <f t="shared" si="19"/>
        <v>#N/A</v>
      </c>
      <c r="I133" s="769" t="e">
        <f t="shared" ref="I133:I134" si="20">SUM(D133:H133)</f>
        <v>#N/A</v>
      </c>
      <c r="J133" s="784"/>
      <c r="L133" s="335"/>
      <c r="M133" s="1033"/>
    </row>
    <row r="134" spans="2:19" s="147" customFormat="1" ht="17.100000000000001" customHeight="1">
      <c r="B134" s="798"/>
      <c r="C134" s="799" t="s">
        <v>776</v>
      </c>
      <c r="D134" s="800" t="e">
        <f>SUM(D120:D128)+D131</f>
        <v>#N/A</v>
      </c>
      <c r="E134" s="800" t="e">
        <f t="shared" ref="E134:H134" si="21">SUM(E120:E128)+E131</f>
        <v>#N/A</v>
      </c>
      <c r="F134" s="800" t="e">
        <f t="shared" si="21"/>
        <v>#N/A</v>
      </c>
      <c r="G134" s="800" t="e">
        <f t="shared" si="21"/>
        <v>#N/A</v>
      </c>
      <c r="H134" s="800" t="e">
        <f t="shared" si="21"/>
        <v>#N/A</v>
      </c>
      <c r="I134" s="801" t="e">
        <f t="shared" si="20"/>
        <v>#N/A</v>
      </c>
      <c r="J134" s="785"/>
      <c r="K134" s="167"/>
      <c r="L134" s="335"/>
      <c r="M134" s="1033"/>
    </row>
    <row r="135" spans="2:19" s="147" customFormat="1" ht="17.100000000000001" customHeight="1">
      <c r="B135" s="796" t="s">
        <v>777</v>
      </c>
      <c r="C135" s="797" t="s">
        <v>778</v>
      </c>
      <c r="D135" s="769">
        <f>D$11*COUNTIF(D102,"&gt;0")</f>
        <v>0</v>
      </c>
      <c r="E135" s="769">
        <f t="shared" ref="E135:H135" si="22">E$11*COUNTIF(E102,"&gt;0")</f>
        <v>0</v>
      </c>
      <c r="F135" s="769">
        <f t="shared" si="22"/>
        <v>0</v>
      </c>
      <c r="G135" s="769">
        <f t="shared" si="22"/>
        <v>0</v>
      </c>
      <c r="H135" s="769">
        <f t="shared" si="22"/>
        <v>0</v>
      </c>
      <c r="I135" s="769"/>
      <c r="J135" s="784" t="s">
        <v>779</v>
      </c>
      <c r="L135" s="335"/>
      <c r="M135" s="1033"/>
    </row>
    <row r="136" spans="2:19" s="147" customFormat="1" ht="17.100000000000001" customHeight="1">
      <c r="B136" s="796"/>
      <c r="C136" s="797" t="s">
        <v>780</v>
      </c>
      <c r="D136" s="889" t="e">
        <f>D$11*IF(OR(D120&gt;0,D111&gt;0),1,0)</f>
        <v>#N/A</v>
      </c>
      <c r="E136" s="889" t="e">
        <f t="shared" ref="E136:H136" si="23">E$11*IF(OR(E120&gt;0,E111&gt;0),1,0)</f>
        <v>#N/A</v>
      </c>
      <c r="F136" s="889" t="e">
        <f t="shared" si="23"/>
        <v>#N/A</v>
      </c>
      <c r="G136" s="889" t="e">
        <f t="shared" si="23"/>
        <v>#N/A</v>
      </c>
      <c r="H136" s="889" t="e">
        <f t="shared" si="23"/>
        <v>#N/A</v>
      </c>
      <c r="I136" s="889"/>
      <c r="J136" s="890"/>
      <c r="L136" s="335"/>
    </row>
    <row r="137" spans="2:19" s="147" customFormat="1" ht="17.100000000000001" customHeight="1">
      <c r="B137" s="796"/>
      <c r="C137" s="797" t="s">
        <v>781</v>
      </c>
      <c r="D137" s="889">
        <f>D$11*(COUNTIF(D103:D110,"&gt;0")+'User Inputs and Savings'!$J$38*('User Inputs and Savings'!C70+'User Inputs and Savings'!C71))</f>
        <v>0</v>
      </c>
      <c r="E137" s="889">
        <f>E$11*(COUNTIF(E103:E110,"&gt;0")+'User Inputs and Savings'!$J$38*('User Inputs and Savings'!D70+'User Inputs and Savings'!D71))</f>
        <v>0</v>
      </c>
      <c r="F137" s="889">
        <f>F$11*(COUNTIF(F103:F110,"&gt;0")+'User Inputs and Savings'!$J$38*('User Inputs and Savings'!E70+'User Inputs and Savings'!E71))</f>
        <v>0</v>
      </c>
      <c r="G137" s="889">
        <f>G$11*(COUNTIF(G103:G110,"&gt;0")+'User Inputs and Savings'!$J$38*('User Inputs and Savings'!F70+'User Inputs and Savings'!F71))</f>
        <v>0</v>
      </c>
      <c r="H137" s="889">
        <f>H$11*(COUNTIF(H103:H110,"&gt;0")+'User Inputs and Savings'!$J$38*('User Inputs and Savings'!G70+'User Inputs and Savings'!G71))</f>
        <v>0</v>
      </c>
      <c r="I137" s="889"/>
      <c r="J137" s="890" t="s">
        <v>782</v>
      </c>
      <c r="L137" s="335"/>
    </row>
    <row r="138" spans="2:19" s="147" customFormat="1" ht="17.100000000000001" customHeight="1">
      <c r="B138" s="796"/>
      <c r="C138" s="797" t="s">
        <v>783</v>
      </c>
      <c r="D138" s="889" t="e">
        <f>D$11*(IF(SUM(D112+D121)&gt;0,1,0)+IF(SUM(D115+D124)&gt;0,1,0)+IF(SUM(D116+D125)&gt;0,1,0)+IF(SUM(D118+D127)&gt;0,1,0)+'User Inputs and Savings'!$J$38*('User Inputs and Savings'!C72))</f>
        <v>#N/A</v>
      </c>
      <c r="E138" s="889" t="e">
        <f>E$11*(IF(SUM(E112+E121)&gt;0,1,0)+IF(SUM(E115+E124)&gt;0,1,0)+IF(SUM(E116+E125)&gt;0,1,0)+IF(SUM(E118+E127)&gt;0,1,0)+'User Inputs and Savings'!$J$38*('User Inputs and Savings'!D72))</f>
        <v>#N/A</v>
      </c>
      <c r="F138" s="889" t="e">
        <f>F$11*(IF(SUM(F112+F121)&gt;0,1,0)+IF(SUM(F115+F124)&gt;0,1,0)+IF(SUM(F116+F125)&gt;0,1,0)+IF(SUM(F118+F127)&gt;0,1,0)+'User Inputs and Savings'!$J$38*('User Inputs and Savings'!E72))</f>
        <v>#N/A</v>
      </c>
      <c r="G138" s="889" t="e">
        <f>G$11*(IF(SUM(G112+G121)&gt;0,1,0)+IF(SUM(G115+G124)&gt;0,1,0)+IF(SUM(G116+G125)&gt;0,1,0)+IF(SUM(G118+G127)&gt;0,1,0)+'User Inputs and Savings'!$J$38*('User Inputs and Savings'!F72))</f>
        <v>#N/A</v>
      </c>
      <c r="H138" s="889" t="e">
        <f>H$11*(IF(SUM(H112+H121)&gt;0,1,0)+IF(SUM(H115+H124)&gt;0,1,0)+IF(SUM(H116+H125)&gt;0,1,0)+IF(SUM(H118+H127)&gt;0,1,0)+'User Inputs and Savings'!$J$38*('User Inputs and Savings'!G72))</f>
        <v>#N/A</v>
      </c>
      <c r="I138" s="889"/>
      <c r="J138" s="890"/>
      <c r="L138" s="335"/>
    </row>
    <row r="139" spans="2:19" s="147" customFormat="1" ht="17.100000000000001" customHeight="1">
      <c r="B139" s="798"/>
      <c r="C139" s="799" t="s">
        <v>748</v>
      </c>
      <c r="D139" s="1289" t="e">
        <f>SUM(D135:D138)</f>
        <v>#N/A</v>
      </c>
      <c r="E139" s="1289" t="e">
        <f t="shared" ref="E139:H139" si="24">SUM(E135:E138)</f>
        <v>#N/A</v>
      </c>
      <c r="F139" s="1289" t="e">
        <f t="shared" si="24"/>
        <v>#N/A</v>
      </c>
      <c r="G139" s="1289" t="e">
        <f t="shared" si="24"/>
        <v>#N/A</v>
      </c>
      <c r="H139" s="1289" t="e">
        <f t="shared" si="24"/>
        <v>#N/A</v>
      </c>
      <c r="I139" s="801"/>
      <c r="J139" s="785" t="s">
        <v>779</v>
      </c>
      <c r="K139" s="167"/>
      <c r="L139" s="335"/>
    </row>
    <row r="140" spans="2:19" s="147" customFormat="1" ht="17.100000000000001" customHeight="1">
      <c r="B140" s="786" t="s">
        <v>784</v>
      </c>
      <c r="C140" s="536" t="s">
        <v>578</v>
      </c>
      <c r="D140" s="537">
        <f>IFERROR(D133+D132,0)</f>
        <v>0</v>
      </c>
      <c r="E140" s="537">
        <f t="shared" ref="E140:H140" si="25">IFERROR(E133+E132,0)</f>
        <v>0</v>
      </c>
      <c r="F140" s="537">
        <f t="shared" si="25"/>
        <v>0</v>
      </c>
      <c r="G140" s="537">
        <f t="shared" si="25"/>
        <v>0</v>
      </c>
      <c r="H140" s="537">
        <f t="shared" si="25"/>
        <v>0</v>
      </c>
      <c r="I140" s="537">
        <f>SUM(D140:H140)</f>
        <v>0</v>
      </c>
      <c r="J140" s="787"/>
      <c r="L140" s="335"/>
    </row>
    <row r="141" spans="2:19" s="147" customFormat="1" ht="17.100000000000001" customHeight="1">
      <c r="B141" s="786"/>
      <c r="C141" s="536" t="s">
        <v>785</v>
      </c>
      <c r="D141" s="537">
        <f>IFERROR(SUM(D113:D119,D104:D110,D129),0)</f>
        <v>0</v>
      </c>
      <c r="E141" s="537">
        <f t="shared" ref="E141:H141" si="26">IFERROR(SUM(E113:E119,E104:E110,E129),0)</f>
        <v>0</v>
      </c>
      <c r="F141" s="537">
        <f t="shared" si="26"/>
        <v>0</v>
      </c>
      <c r="G141" s="537">
        <f t="shared" si="26"/>
        <v>0</v>
      </c>
      <c r="H141" s="537">
        <f t="shared" si="26"/>
        <v>0</v>
      </c>
      <c r="I141" s="537">
        <f t="shared" ref="I141:I143" si="27">SUM(D141:H141)</f>
        <v>0</v>
      </c>
      <c r="J141" s="787"/>
      <c r="L141" s="335"/>
    </row>
    <row r="142" spans="2:19" s="147" customFormat="1">
      <c r="B142" s="786"/>
      <c r="C142" s="536" t="s">
        <v>581</v>
      </c>
      <c r="D142" s="537">
        <f>IFERROR(D134,0)</f>
        <v>0</v>
      </c>
      <c r="E142" s="537">
        <f t="shared" ref="E142:H142" si="28">IFERROR(E134,0)</f>
        <v>0</v>
      </c>
      <c r="F142" s="537">
        <f t="shared" si="28"/>
        <v>0</v>
      </c>
      <c r="G142" s="537">
        <f t="shared" si="28"/>
        <v>0</v>
      </c>
      <c r="H142" s="537">
        <f t="shared" si="28"/>
        <v>0</v>
      </c>
      <c r="I142" s="537">
        <f t="shared" si="27"/>
        <v>0</v>
      </c>
      <c r="J142" s="787"/>
      <c r="S142" s="335"/>
    </row>
    <row r="143" spans="2:19" s="147" customFormat="1">
      <c r="B143" s="788"/>
      <c r="C143" s="789" t="s">
        <v>364</v>
      </c>
      <c r="D143" s="790">
        <f>D142+D140</f>
        <v>0</v>
      </c>
      <c r="E143" s="790">
        <f t="shared" ref="E143:H143" si="29">E142+E140</f>
        <v>0</v>
      </c>
      <c r="F143" s="790">
        <f t="shared" si="29"/>
        <v>0</v>
      </c>
      <c r="G143" s="790">
        <f t="shared" si="29"/>
        <v>0</v>
      </c>
      <c r="H143" s="790">
        <f t="shared" si="29"/>
        <v>0</v>
      </c>
      <c r="I143" s="791">
        <f t="shared" si="27"/>
        <v>0</v>
      </c>
      <c r="J143" s="792"/>
      <c r="S143" s="335"/>
    </row>
    <row r="144" spans="2:19" s="147" customFormat="1" ht="90.6" customHeight="1">
      <c r="B144" s="786" t="s">
        <v>786</v>
      </c>
      <c r="C144" s="536" t="s">
        <v>787</v>
      </c>
      <c r="D144" s="1049">
        <f>D140/$D$7</f>
        <v>0</v>
      </c>
      <c r="E144" s="1049">
        <f t="shared" ref="E144:H144" si="30">E140/$D$7</f>
        <v>0</v>
      </c>
      <c r="F144" s="1049">
        <f t="shared" si="30"/>
        <v>0</v>
      </c>
      <c r="G144" s="1049">
        <f t="shared" si="30"/>
        <v>0</v>
      </c>
      <c r="H144" s="1049">
        <f t="shared" si="30"/>
        <v>0</v>
      </c>
      <c r="I144" s="536"/>
      <c r="J144" s="1806" t="s">
        <v>788</v>
      </c>
      <c r="K144" s="344"/>
      <c r="L144" s="344"/>
      <c r="M144" s="344"/>
      <c r="N144" s="344"/>
      <c r="O144" s="327"/>
      <c r="P144" s="328"/>
      <c r="Q144" s="463"/>
    </row>
    <row r="145" spans="1:18" s="147" customFormat="1">
      <c r="B145" s="786"/>
      <c r="C145" s="536" t="s">
        <v>785</v>
      </c>
      <c r="D145" s="1049"/>
      <c r="E145" s="1049"/>
      <c r="F145" s="1049"/>
      <c r="G145" s="1049"/>
      <c r="H145" s="1049"/>
      <c r="I145" s="536"/>
      <c r="J145" s="1807"/>
      <c r="K145" s="344"/>
      <c r="L145" s="344"/>
      <c r="M145" s="344"/>
      <c r="N145" s="344"/>
      <c r="O145" s="327"/>
      <c r="P145" s="328"/>
      <c r="Q145" s="463"/>
    </row>
    <row r="146" spans="1:18" s="147" customFormat="1">
      <c r="B146" s="786"/>
      <c r="C146" s="536" t="s">
        <v>789</v>
      </c>
      <c r="D146" s="1049" t="e">
        <f>D142/$D4*$C4</f>
        <v>#N/A</v>
      </c>
      <c r="E146" s="1049" t="e">
        <f t="shared" ref="E146:H146" si="31">E142/$D4*$C4</f>
        <v>#N/A</v>
      </c>
      <c r="F146" s="1049" t="e">
        <f t="shared" si="31"/>
        <v>#N/A</v>
      </c>
      <c r="G146" s="1049" t="e">
        <f t="shared" si="31"/>
        <v>#N/A</v>
      </c>
      <c r="H146" s="1049" t="e">
        <f t="shared" si="31"/>
        <v>#N/A</v>
      </c>
      <c r="I146" s="536"/>
      <c r="J146" s="1807"/>
      <c r="K146" s="344"/>
      <c r="L146" s="344"/>
      <c r="M146" s="344"/>
      <c r="N146" s="344"/>
      <c r="O146" s="327"/>
      <c r="P146" s="328"/>
      <c r="Q146" s="463"/>
    </row>
    <row r="147" spans="1:18" s="147" customFormat="1">
      <c r="B147" s="788"/>
      <c r="C147" s="789" t="s">
        <v>364</v>
      </c>
      <c r="D147" s="1050"/>
      <c r="E147" s="1050"/>
      <c r="F147" s="1050"/>
      <c r="G147" s="1050"/>
      <c r="H147" s="1050"/>
      <c r="I147" s="789"/>
      <c r="J147" s="1808"/>
      <c r="K147" s="344"/>
      <c r="L147" s="344"/>
      <c r="M147" s="344"/>
      <c r="N147" s="344"/>
      <c r="O147" s="327"/>
      <c r="P147" s="328"/>
      <c r="Q147" s="463"/>
    </row>
    <row r="148" spans="1:18" s="147" customFormat="1">
      <c r="B148" s="325"/>
      <c r="C148" s="536"/>
      <c r="D148" s="536"/>
      <c r="E148" s="536"/>
      <c r="F148" s="536"/>
      <c r="G148" s="536"/>
      <c r="H148" s="536"/>
      <c r="I148" s="536"/>
      <c r="J148" s="536"/>
      <c r="K148" s="344"/>
      <c r="L148" s="344"/>
      <c r="M148" s="344"/>
      <c r="N148" s="344"/>
      <c r="O148" s="327"/>
      <c r="P148" s="328"/>
      <c r="Q148" s="463"/>
    </row>
    <row r="149" spans="1:18" s="147" customFormat="1">
      <c r="B149" s="325"/>
      <c r="D149" s="326"/>
      <c r="E149" s="326"/>
      <c r="F149" s="344"/>
      <c r="G149" s="344"/>
      <c r="H149" s="344"/>
      <c r="I149" s="344"/>
      <c r="J149" s="344"/>
      <c r="K149" s="344"/>
      <c r="L149" s="344"/>
      <c r="M149" s="344"/>
      <c r="N149" s="344"/>
      <c r="O149" s="327"/>
      <c r="P149" s="328"/>
      <c r="Q149" s="463"/>
    </row>
    <row r="150" spans="1:18" s="147" customFormat="1" ht="26.1">
      <c r="A150" s="150" t="s">
        <v>790</v>
      </c>
      <c r="C150" s="314"/>
      <c r="D150" s="326"/>
      <c r="E150" s="326"/>
      <c r="F150" s="344"/>
      <c r="G150" s="344"/>
      <c r="H150" s="344"/>
      <c r="I150" s="344"/>
      <c r="J150" s="344"/>
      <c r="K150" s="344"/>
      <c r="L150" s="344"/>
      <c r="M150" s="344"/>
      <c r="N150" s="344"/>
      <c r="Q150" s="335"/>
    </row>
    <row r="151" spans="1:18" s="147" customFormat="1" ht="51.95" customHeight="1">
      <c r="B151" s="446" t="s">
        <v>581</v>
      </c>
      <c r="C151" s="447" t="s">
        <v>791</v>
      </c>
      <c r="D151" s="448" t="s">
        <v>612</v>
      </c>
      <c r="E151" s="448" t="s">
        <v>792</v>
      </c>
      <c r="F151" s="448" t="s">
        <v>427</v>
      </c>
      <c r="G151" s="448" t="s">
        <v>748</v>
      </c>
      <c r="H151" s="448" t="s">
        <v>793</v>
      </c>
      <c r="I151" s="756" t="s">
        <v>547</v>
      </c>
      <c r="J151" s="757"/>
      <c r="K151" s="758"/>
      <c r="R151" s="335"/>
    </row>
    <row r="152" spans="1:18" s="147" customFormat="1">
      <c r="B152" s="802"/>
      <c r="C152" s="803" t="s">
        <v>794</v>
      </c>
      <c r="D152" s="804">
        <v>2</v>
      </c>
      <c r="E152" s="804">
        <v>3</v>
      </c>
      <c r="F152" s="804">
        <v>1</v>
      </c>
      <c r="G152" s="804"/>
      <c r="H152" s="804"/>
      <c r="I152" s="805"/>
      <c r="J152" s="806"/>
      <c r="K152" s="807"/>
      <c r="R152" s="335"/>
    </row>
    <row r="153" spans="1:18" s="147" customFormat="1">
      <c r="B153" s="1790" t="s">
        <v>578</v>
      </c>
      <c r="C153" s="329" t="s">
        <v>583</v>
      </c>
      <c r="D153" s="330">
        <f>SUMIF($D$21:$H$21,D$152,$D140:$H140)/$D$7</f>
        <v>0</v>
      </c>
      <c r="E153" s="330">
        <f>SUMIF($D$21:$H$21,E$152,$D140:$H140)/$D$7</f>
        <v>0</v>
      </c>
      <c r="F153" s="330">
        <f>(SUMIF($D$21:$H$21,F$152,$D140:$H140)/$D$7)</f>
        <v>0</v>
      </c>
      <c r="G153" s="330">
        <f>SUM(D153:F153)</f>
        <v>0</v>
      </c>
      <c r="H153" s="337" t="s">
        <v>253</v>
      </c>
      <c r="I153" s="808"/>
      <c r="J153" s="751"/>
      <c r="K153" s="752"/>
      <c r="P153" s="335"/>
    </row>
    <row r="154" spans="1:18" s="147" customFormat="1">
      <c r="B154" s="1790"/>
      <c r="C154" s="329" t="s">
        <v>795</v>
      </c>
      <c r="D154" s="330">
        <f>SUMIF($D$21:$H$21,D$152,$D141:$H141)/$D$7</f>
        <v>0</v>
      </c>
      <c r="E154" s="330">
        <f>SUMIF($D$21:$H$21,E$152,$D141:$H141)/$D$7</f>
        <v>0</v>
      </c>
      <c r="F154" s="330">
        <f>SUMIF($D$21:$H$21,F$152,$D141:$H141)/$D$7</f>
        <v>0</v>
      </c>
      <c r="G154" s="330">
        <f t="shared" ref="G154:G161" si="32">SUM(D154:F154)</f>
        <v>0</v>
      </c>
      <c r="H154" s="331" t="s">
        <v>253</v>
      </c>
      <c r="I154" s="747" t="s">
        <v>796</v>
      </c>
      <c r="J154" s="748"/>
      <c r="K154" s="749"/>
      <c r="P154" s="335"/>
    </row>
    <row r="155" spans="1:18" s="147" customFormat="1">
      <c r="B155" s="1790"/>
      <c r="C155" s="329" t="s">
        <v>797</v>
      </c>
      <c r="D155" s="566">
        <f>D154*Assumptions!$D$99/Assumptions!$D$101</f>
        <v>0</v>
      </c>
      <c r="E155" s="566">
        <f>E154*Assumptions!$D$99/Assumptions!$D$101</f>
        <v>0</v>
      </c>
      <c r="F155" s="330">
        <f>F154*Assumptions!$D$99/Assumptions!$D$101</f>
        <v>0</v>
      </c>
      <c r="G155" s="330">
        <f t="shared" si="32"/>
        <v>0</v>
      </c>
      <c r="H155" s="331" t="s">
        <v>587</v>
      </c>
      <c r="I155" s="747"/>
      <c r="J155" s="748"/>
      <c r="K155" s="749"/>
      <c r="P155" s="335"/>
    </row>
    <row r="156" spans="1:18" s="147" customFormat="1">
      <c r="B156" s="1790"/>
      <c r="C156" s="329" t="s">
        <v>798</v>
      </c>
      <c r="D156" s="566">
        <f>D154*Assumptions!$D$100/Assumptions!$D$102</f>
        <v>0</v>
      </c>
      <c r="E156" s="566">
        <f>E154*Assumptions!$D$100/Assumptions!$D$102</f>
        <v>0</v>
      </c>
      <c r="F156" s="330">
        <f>F154*Assumptions!$D$100/Assumptions!$D$102</f>
        <v>0</v>
      </c>
      <c r="G156" s="330">
        <f t="shared" si="32"/>
        <v>0</v>
      </c>
      <c r="H156" s="331" t="s">
        <v>587</v>
      </c>
      <c r="I156" s="747"/>
      <c r="J156" s="748"/>
      <c r="K156" s="749"/>
      <c r="P156" s="335"/>
    </row>
    <row r="157" spans="1:18" s="147" customFormat="1">
      <c r="B157" s="1790" t="s">
        <v>799</v>
      </c>
      <c r="C157" s="329" t="s">
        <v>800</v>
      </c>
      <c r="D157" s="332" t="e">
        <f>SUMIF(D$21:H$21,D$152,$D$142:$H$142)/$D4*$C4</f>
        <v>#N/A</v>
      </c>
      <c r="E157" s="332" t="e">
        <f>SUMIF(E$21:I$21,E$152,$D$142:$H$142)/$D4*$C4</f>
        <v>#N/A</v>
      </c>
      <c r="F157" s="330" t="e">
        <f>(SUMIF(F$21:J$21,F$152,$D$142:$H$142)/$D4*$C4)</f>
        <v>#N/A</v>
      </c>
      <c r="G157" s="330" t="e">
        <f t="shared" si="32"/>
        <v>#N/A</v>
      </c>
      <c r="H157" s="337" t="s">
        <v>801</v>
      </c>
      <c r="I157" s="750"/>
      <c r="J157" s="751"/>
      <c r="K157" s="752"/>
      <c r="P157" s="335"/>
    </row>
    <row r="158" spans="1:18" s="147" customFormat="1" ht="14.45" customHeight="1">
      <c r="B158" s="1790"/>
      <c r="C158" s="329" t="s">
        <v>802</v>
      </c>
      <c r="D158" s="332" t="e">
        <f t="shared" ref="D158:F159" si="33">SUMIF(D$21:H$21,D$152,$D$142:$H$142)/1000*$C5</f>
        <v>#N/A</v>
      </c>
      <c r="E158" s="332" t="e">
        <f t="shared" si="33"/>
        <v>#N/A</v>
      </c>
      <c r="F158" s="330" t="e">
        <f t="shared" si="33"/>
        <v>#N/A</v>
      </c>
      <c r="G158" s="330" t="e">
        <f t="shared" si="32"/>
        <v>#N/A</v>
      </c>
      <c r="H158" s="337" t="s">
        <v>589</v>
      </c>
      <c r="I158" s="760"/>
      <c r="J158" s="761"/>
      <c r="K158" s="762"/>
      <c r="P158" s="335"/>
    </row>
    <row r="159" spans="1:18" s="147" customFormat="1">
      <c r="B159" s="1790"/>
      <c r="C159" s="329" t="s">
        <v>803</v>
      </c>
      <c r="D159" s="332" t="e">
        <f t="shared" si="33"/>
        <v>#N/A</v>
      </c>
      <c r="E159" s="332" t="e">
        <f t="shared" si="33"/>
        <v>#N/A</v>
      </c>
      <c r="F159" s="330" t="e">
        <f t="shared" si="33"/>
        <v>#N/A</v>
      </c>
      <c r="G159" s="330" t="e">
        <f t="shared" si="32"/>
        <v>#N/A</v>
      </c>
      <c r="H159" s="337" t="s">
        <v>589</v>
      </c>
      <c r="I159" s="750"/>
      <c r="J159" s="751"/>
      <c r="K159" s="752"/>
      <c r="P159" s="335"/>
    </row>
    <row r="160" spans="1:18" s="147" customFormat="1">
      <c r="B160" s="1790"/>
      <c r="C160" s="329" t="s">
        <v>804</v>
      </c>
      <c r="D160" s="332" t="e">
        <f t="shared" ref="D160:F161" si="34">D158*10/$D5</f>
        <v>#N/A</v>
      </c>
      <c r="E160" s="332" t="e">
        <f t="shared" si="34"/>
        <v>#N/A</v>
      </c>
      <c r="F160" s="332" t="e">
        <f t="shared" si="34"/>
        <v>#N/A</v>
      </c>
      <c r="G160" s="330" t="e">
        <f t="shared" si="32"/>
        <v>#N/A</v>
      </c>
      <c r="H160" s="337" t="s">
        <v>805</v>
      </c>
      <c r="I160" s="750"/>
      <c r="J160" s="751"/>
      <c r="K160" s="752"/>
      <c r="R160" s="335"/>
    </row>
    <row r="161" spans="1:18" s="147" customFormat="1">
      <c r="B161" s="1791"/>
      <c r="C161" s="449" t="s">
        <v>806</v>
      </c>
      <c r="D161" s="450" t="e">
        <f t="shared" si="34"/>
        <v>#N/A</v>
      </c>
      <c r="E161" s="450" t="e">
        <f t="shared" si="34"/>
        <v>#N/A</v>
      </c>
      <c r="F161" s="450" t="e">
        <f t="shared" si="34"/>
        <v>#N/A</v>
      </c>
      <c r="G161" s="949" t="e">
        <f t="shared" si="32"/>
        <v>#N/A</v>
      </c>
      <c r="H161" s="451" t="s">
        <v>805</v>
      </c>
      <c r="I161" s="753"/>
      <c r="J161" s="754"/>
      <c r="K161" s="755"/>
      <c r="R161" s="335"/>
    </row>
    <row r="162" spans="1:18" s="147" customFormat="1">
      <c r="C162" s="314"/>
      <c r="G162" s="313"/>
      <c r="P162" s="335"/>
    </row>
    <row r="163" spans="1:18" s="147" customFormat="1" ht="26.1">
      <c r="A163" s="150"/>
      <c r="C163" s="314"/>
      <c r="P163" s="335"/>
    </row>
    <row r="164" spans="1:18" s="147" customFormat="1">
      <c r="C164" s="314"/>
      <c r="G164" s="324"/>
      <c r="P164" s="335"/>
    </row>
    <row r="165" spans="1:18" s="147" customFormat="1">
      <c r="C165" s="314"/>
      <c r="P165" s="335"/>
    </row>
    <row r="166" spans="1:18" s="147" customFormat="1">
      <c r="P166" s="335"/>
    </row>
    <row r="167" spans="1:18" s="147" customFormat="1">
      <c r="Q167" s="335"/>
    </row>
    <row r="168" spans="1:18" s="147" customFormat="1">
      <c r="Q168" s="335"/>
    </row>
    <row r="169" spans="1:18" s="147" customFormat="1">
      <c r="Q169" s="335"/>
    </row>
    <row r="170" spans="1:18" s="147" customFormat="1">
      <c r="Q170" s="335"/>
    </row>
    <row r="171" spans="1:18" s="147" customFormat="1">
      <c r="Q171" s="335"/>
    </row>
    <row r="172" spans="1:18" s="147" customFormat="1">
      <c r="Q172" s="335"/>
    </row>
    <row r="173" spans="1:18" s="147" customFormat="1">
      <c r="Q173" s="335"/>
    </row>
    <row r="174" spans="1:18" s="147" customFormat="1">
      <c r="Q174" s="335"/>
    </row>
    <row r="175" spans="1:18" s="147" customFormat="1">
      <c r="Q175" s="335"/>
    </row>
    <row r="176" spans="1:18" s="147" customFormat="1">
      <c r="Q176" s="335"/>
    </row>
    <row r="177" spans="3:17" s="147" customFormat="1">
      <c r="C177" s="314"/>
      <c r="Q177" s="335"/>
    </row>
    <row r="178" spans="3:17" s="147" customFormat="1">
      <c r="C178" s="314"/>
      <c r="Q178" s="335"/>
    </row>
    <row r="179" spans="3:17" s="147" customFormat="1">
      <c r="C179" s="314"/>
      <c r="Q179" s="335"/>
    </row>
    <row r="180" spans="3:17" s="147" customFormat="1">
      <c r="C180" s="314"/>
      <c r="Q180" s="335"/>
    </row>
    <row r="181" spans="3:17" s="147" customFormat="1">
      <c r="C181" s="314"/>
      <c r="Q181" s="335"/>
    </row>
    <row r="182" spans="3:17" s="147" customFormat="1">
      <c r="C182" s="314"/>
      <c r="Q182" s="335"/>
    </row>
    <row r="183" spans="3:17" s="147" customFormat="1">
      <c r="C183" s="314"/>
      <c r="Q183" s="335"/>
    </row>
    <row r="184" spans="3:17" s="147" customFormat="1">
      <c r="C184" s="314"/>
      <c r="Q184" s="335"/>
    </row>
    <row r="185" spans="3:17" s="147" customFormat="1">
      <c r="C185" s="314"/>
      <c r="Q185" s="335"/>
    </row>
    <row r="186" spans="3:17" s="147" customFormat="1">
      <c r="C186" s="314"/>
      <c r="Q186" s="335"/>
    </row>
    <row r="187" spans="3:17" s="147" customFormat="1">
      <c r="C187" s="314"/>
      <c r="Q187" s="335"/>
    </row>
    <row r="188" spans="3:17" s="147" customFormat="1">
      <c r="C188" s="314"/>
      <c r="Q188" s="335"/>
    </row>
    <row r="189" spans="3:17" s="147" customFormat="1">
      <c r="C189" s="314"/>
      <c r="Q189" s="335"/>
    </row>
    <row r="190" spans="3:17" s="147" customFormat="1">
      <c r="C190" s="314"/>
      <c r="Q190" s="335"/>
    </row>
    <row r="191" spans="3:17" s="147" customFormat="1">
      <c r="C191" s="314"/>
      <c r="Q191" s="335"/>
    </row>
    <row r="192" spans="3:17" s="147" customFormat="1">
      <c r="C192" s="314"/>
      <c r="Q192" s="335"/>
    </row>
    <row r="193" spans="3:17" s="147" customFormat="1">
      <c r="C193" s="314"/>
      <c r="Q193" s="335"/>
    </row>
    <row r="194" spans="3:17" s="147" customFormat="1">
      <c r="C194" s="314"/>
      <c r="Q194" s="335"/>
    </row>
    <row r="195" spans="3:17" s="147" customFormat="1">
      <c r="C195" s="314"/>
      <c r="Q195" s="335"/>
    </row>
    <row r="196" spans="3:17" s="147" customFormat="1">
      <c r="C196" s="314"/>
      <c r="Q196" s="335"/>
    </row>
    <row r="197" spans="3:17" s="147" customFormat="1">
      <c r="C197" s="314"/>
      <c r="Q197" s="335"/>
    </row>
    <row r="198" spans="3:17" s="147" customFormat="1">
      <c r="C198" s="314"/>
      <c r="Q198" s="335"/>
    </row>
    <row r="199" spans="3:17" s="147" customFormat="1">
      <c r="C199" s="314"/>
      <c r="Q199" s="335"/>
    </row>
    <row r="200" spans="3:17" s="147" customFormat="1">
      <c r="C200" s="314"/>
      <c r="Q200" s="335"/>
    </row>
    <row r="201" spans="3:17" s="147" customFormat="1">
      <c r="C201" s="314"/>
      <c r="Q201" s="335"/>
    </row>
    <row r="202" spans="3:17" s="147" customFormat="1">
      <c r="C202" s="314"/>
      <c r="Q202" s="335"/>
    </row>
    <row r="203" spans="3:17" s="147" customFormat="1">
      <c r="C203" s="314"/>
      <c r="Q203" s="335"/>
    </row>
    <row r="204" spans="3:17" s="147" customFormat="1">
      <c r="C204" s="314"/>
      <c r="Q204" s="335"/>
    </row>
    <row r="205" spans="3:17" s="147" customFormat="1">
      <c r="C205" s="314"/>
      <c r="Q205" s="335"/>
    </row>
    <row r="206" spans="3:17" s="147" customFormat="1">
      <c r="C206" s="314"/>
      <c r="Q206" s="335"/>
    </row>
    <row r="207" spans="3:17" s="147" customFormat="1">
      <c r="C207" s="314"/>
      <c r="Q207" s="335"/>
    </row>
    <row r="208" spans="3:17" s="147" customFormat="1">
      <c r="C208" s="314"/>
      <c r="Q208" s="335"/>
    </row>
    <row r="209" spans="3:17" s="147" customFormat="1">
      <c r="C209" s="314"/>
      <c r="Q209" s="335"/>
    </row>
    <row r="210" spans="3:17" s="147" customFormat="1">
      <c r="C210" s="314"/>
      <c r="Q210" s="335"/>
    </row>
    <row r="211" spans="3:17" s="147" customFormat="1">
      <c r="C211" s="314"/>
      <c r="Q211" s="335"/>
    </row>
    <row r="212" spans="3:17" s="147" customFormat="1">
      <c r="C212" s="314"/>
      <c r="Q212" s="335"/>
    </row>
    <row r="213" spans="3:17" s="147" customFormat="1">
      <c r="C213" s="314"/>
      <c r="Q213" s="335"/>
    </row>
    <row r="214" spans="3:17" s="147" customFormat="1">
      <c r="C214" s="314"/>
      <c r="Q214" s="335"/>
    </row>
    <row r="215" spans="3:17" s="147" customFormat="1">
      <c r="C215" s="314"/>
      <c r="Q215" s="335"/>
    </row>
    <row r="216" spans="3:17" s="147" customFormat="1">
      <c r="C216" s="314"/>
      <c r="Q216" s="335"/>
    </row>
    <row r="217" spans="3:17" s="147" customFormat="1">
      <c r="C217" s="314"/>
      <c r="Q217" s="335"/>
    </row>
    <row r="218" spans="3:17" s="147" customFormat="1">
      <c r="C218" s="314"/>
      <c r="Q218" s="335"/>
    </row>
    <row r="219" spans="3:17" s="147" customFormat="1">
      <c r="C219" s="314"/>
      <c r="Q219" s="335"/>
    </row>
    <row r="220" spans="3:17" s="147" customFormat="1">
      <c r="C220" s="314"/>
      <c r="Q220" s="335"/>
    </row>
    <row r="221" spans="3:17" s="147" customFormat="1">
      <c r="C221" s="314"/>
      <c r="Q221" s="335"/>
    </row>
    <row r="222" spans="3:17" s="147" customFormat="1">
      <c r="C222" s="314"/>
      <c r="Q222" s="335"/>
    </row>
    <row r="223" spans="3:17" s="147" customFormat="1">
      <c r="C223" s="314"/>
      <c r="Q223" s="335"/>
    </row>
    <row r="224" spans="3:17" s="147" customFormat="1">
      <c r="C224" s="314"/>
      <c r="Q224" s="335"/>
    </row>
    <row r="225" spans="3:17" s="147" customFormat="1">
      <c r="C225" s="314"/>
      <c r="Q225" s="335"/>
    </row>
    <row r="226" spans="3:17" s="147" customFormat="1">
      <c r="C226" s="314"/>
      <c r="Q226" s="335"/>
    </row>
    <row r="227" spans="3:17" s="147" customFormat="1">
      <c r="C227" s="314"/>
      <c r="Q227" s="335"/>
    </row>
    <row r="228" spans="3:17" s="147" customFormat="1">
      <c r="C228" s="314"/>
      <c r="Q228" s="335"/>
    </row>
    <row r="229" spans="3:17" s="147" customFormat="1">
      <c r="C229" s="314"/>
      <c r="Q229" s="335"/>
    </row>
    <row r="230" spans="3:17" s="147" customFormat="1">
      <c r="C230" s="314"/>
      <c r="Q230" s="335"/>
    </row>
    <row r="231" spans="3:17" s="147" customFormat="1">
      <c r="C231" s="314"/>
      <c r="Q231" s="335"/>
    </row>
    <row r="232" spans="3:17" s="147" customFormat="1">
      <c r="C232" s="314"/>
      <c r="Q232" s="335"/>
    </row>
    <row r="233" spans="3:17" s="147" customFormat="1">
      <c r="C233" s="314"/>
      <c r="Q233" s="335"/>
    </row>
    <row r="234" spans="3:17" s="147" customFormat="1">
      <c r="C234" s="314"/>
      <c r="Q234" s="335"/>
    </row>
    <row r="235" spans="3:17" s="147" customFormat="1">
      <c r="C235" s="314"/>
      <c r="Q235" s="335"/>
    </row>
    <row r="236" spans="3:17" s="147" customFormat="1">
      <c r="C236" s="314"/>
      <c r="Q236" s="335"/>
    </row>
    <row r="237" spans="3:17" s="147" customFormat="1">
      <c r="C237" s="314"/>
      <c r="Q237" s="335"/>
    </row>
    <row r="238" spans="3:17" s="147" customFormat="1">
      <c r="C238" s="314"/>
      <c r="Q238" s="335"/>
    </row>
    <row r="239" spans="3:17" s="147" customFormat="1">
      <c r="C239" s="314"/>
      <c r="Q239" s="335"/>
    </row>
    <row r="240" spans="3:17" s="147" customFormat="1">
      <c r="C240" s="314"/>
      <c r="Q240" s="335"/>
    </row>
    <row r="241" spans="3:17" s="147" customFormat="1">
      <c r="C241" s="314"/>
      <c r="Q241" s="335"/>
    </row>
    <row r="242" spans="3:17" s="147" customFormat="1">
      <c r="C242" s="314"/>
      <c r="Q242" s="335"/>
    </row>
    <row r="243" spans="3:17" s="147" customFormat="1">
      <c r="C243" s="314"/>
      <c r="Q243" s="335"/>
    </row>
    <row r="244" spans="3:17" s="147" customFormat="1">
      <c r="C244" s="314"/>
      <c r="Q244" s="335"/>
    </row>
    <row r="245" spans="3:17" s="147" customFormat="1">
      <c r="C245" s="314"/>
      <c r="Q245" s="335"/>
    </row>
    <row r="246" spans="3:17" s="147" customFormat="1">
      <c r="C246" s="314"/>
      <c r="Q246" s="335"/>
    </row>
    <row r="247" spans="3:17" s="147" customFormat="1">
      <c r="C247" s="314"/>
      <c r="Q247" s="335"/>
    </row>
    <row r="248" spans="3:17" s="147" customFormat="1">
      <c r="C248" s="314"/>
      <c r="Q248" s="335"/>
    </row>
    <row r="249" spans="3:17" s="147" customFormat="1">
      <c r="C249" s="314"/>
      <c r="Q249" s="335"/>
    </row>
    <row r="250" spans="3:17" s="147" customFormat="1">
      <c r="C250" s="314"/>
      <c r="Q250" s="335"/>
    </row>
    <row r="251" spans="3:17" s="147" customFormat="1">
      <c r="C251" s="314"/>
      <c r="Q251" s="335"/>
    </row>
    <row r="252" spans="3:17" s="147" customFormat="1">
      <c r="C252" s="314"/>
      <c r="Q252" s="335"/>
    </row>
    <row r="253" spans="3:17" s="147" customFormat="1">
      <c r="C253" s="314"/>
      <c r="Q253" s="335"/>
    </row>
    <row r="254" spans="3:17" s="147" customFormat="1">
      <c r="C254" s="314"/>
      <c r="Q254" s="335"/>
    </row>
    <row r="255" spans="3:17" s="147" customFormat="1">
      <c r="C255" s="314"/>
      <c r="Q255" s="335"/>
    </row>
    <row r="256" spans="3:17" s="147" customFormat="1">
      <c r="C256" s="314"/>
      <c r="Q256" s="335"/>
    </row>
    <row r="257" spans="3:17" s="147" customFormat="1">
      <c r="C257" s="314"/>
      <c r="Q257" s="335"/>
    </row>
    <row r="258" spans="3:17" s="147" customFormat="1">
      <c r="C258" s="314"/>
      <c r="Q258" s="335"/>
    </row>
    <row r="259" spans="3:17" s="147" customFormat="1">
      <c r="C259" s="314"/>
      <c r="Q259" s="335"/>
    </row>
    <row r="260" spans="3:17" s="147" customFormat="1">
      <c r="C260" s="314"/>
      <c r="Q260" s="335"/>
    </row>
    <row r="261" spans="3:17" s="147" customFormat="1">
      <c r="C261" s="314"/>
      <c r="Q261" s="335"/>
    </row>
    <row r="262" spans="3:17" s="147" customFormat="1">
      <c r="C262" s="314"/>
      <c r="Q262" s="335"/>
    </row>
    <row r="263" spans="3:17" s="147" customFormat="1">
      <c r="C263" s="314"/>
      <c r="Q263" s="335"/>
    </row>
    <row r="264" spans="3:17" s="147" customFormat="1">
      <c r="C264" s="314"/>
      <c r="Q264" s="335"/>
    </row>
    <row r="265" spans="3:17" s="147" customFormat="1">
      <c r="C265" s="314"/>
      <c r="Q265" s="335"/>
    </row>
    <row r="266" spans="3:17" s="147" customFormat="1">
      <c r="C266" s="314"/>
      <c r="Q266" s="335"/>
    </row>
    <row r="267" spans="3:17" s="147" customFormat="1">
      <c r="C267" s="314"/>
      <c r="Q267" s="335"/>
    </row>
    <row r="268" spans="3:17" s="147" customFormat="1">
      <c r="C268" s="314"/>
      <c r="Q268" s="335"/>
    </row>
    <row r="269" spans="3:17" s="147" customFormat="1">
      <c r="C269" s="314"/>
      <c r="Q269" s="335"/>
    </row>
    <row r="270" spans="3:17" s="147" customFormat="1">
      <c r="C270" s="314"/>
      <c r="Q270" s="335"/>
    </row>
    <row r="271" spans="3:17" s="147" customFormat="1">
      <c r="C271" s="314"/>
      <c r="Q271" s="335"/>
    </row>
    <row r="272" spans="3:17" s="147" customFormat="1">
      <c r="C272" s="314"/>
      <c r="Q272" s="335"/>
    </row>
    <row r="273" spans="3:17" s="147" customFormat="1">
      <c r="C273" s="314"/>
      <c r="Q273" s="335"/>
    </row>
    <row r="274" spans="3:17" s="147" customFormat="1">
      <c r="C274" s="314"/>
      <c r="Q274" s="335"/>
    </row>
    <row r="275" spans="3:17" s="147" customFormat="1">
      <c r="C275" s="314"/>
      <c r="Q275" s="335"/>
    </row>
    <row r="276" spans="3:17" s="147" customFormat="1">
      <c r="C276" s="314"/>
      <c r="Q276" s="335"/>
    </row>
    <row r="277" spans="3:17" s="147" customFormat="1">
      <c r="C277" s="314"/>
      <c r="Q277" s="335"/>
    </row>
    <row r="278" spans="3:17" s="147" customFormat="1">
      <c r="C278" s="314"/>
      <c r="Q278" s="335"/>
    </row>
    <row r="279" spans="3:17" s="147" customFormat="1">
      <c r="C279" s="314"/>
      <c r="Q279" s="335"/>
    </row>
    <row r="280" spans="3:17" s="147" customFormat="1">
      <c r="C280" s="314"/>
      <c r="Q280" s="335"/>
    </row>
    <row r="281" spans="3:17" s="147" customFormat="1">
      <c r="C281" s="314"/>
      <c r="Q281" s="335"/>
    </row>
    <row r="282" spans="3:17" s="147" customFormat="1">
      <c r="C282" s="314"/>
      <c r="Q282" s="335"/>
    </row>
    <row r="283" spans="3:17" s="147" customFormat="1">
      <c r="C283" s="314"/>
      <c r="Q283" s="335"/>
    </row>
    <row r="284" spans="3:17" s="147" customFormat="1">
      <c r="C284" s="314"/>
      <c r="Q284" s="335"/>
    </row>
    <row r="285" spans="3:17" s="147" customFormat="1">
      <c r="C285" s="314"/>
      <c r="Q285" s="335"/>
    </row>
    <row r="286" spans="3:17" s="147" customFormat="1">
      <c r="C286" s="314"/>
      <c r="Q286" s="335"/>
    </row>
    <row r="287" spans="3:17" s="147" customFormat="1">
      <c r="C287" s="314"/>
      <c r="Q287" s="335"/>
    </row>
    <row r="288" spans="3:17" s="147" customFormat="1">
      <c r="C288" s="314"/>
      <c r="Q288" s="335"/>
    </row>
    <row r="289" spans="3:17" s="147" customFormat="1">
      <c r="C289" s="314"/>
      <c r="Q289" s="335"/>
    </row>
    <row r="290" spans="3:17" s="147" customFormat="1">
      <c r="C290" s="314"/>
      <c r="Q290" s="335"/>
    </row>
    <row r="291" spans="3:17" s="147" customFormat="1">
      <c r="C291" s="314"/>
      <c r="Q291" s="335"/>
    </row>
    <row r="292" spans="3:17" s="147" customFormat="1">
      <c r="C292" s="314"/>
      <c r="Q292" s="335"/>
    </row>
    <row r="293" spans="3:17" s="147" customFormat="1">
      <c r="C293" s="314"/>
      <c r="Q293" s="335"/>
    </row>
    <row r="294" spans="3:17" s="147" customFormat="1">
      <c r="C294" s="314"/>
      <c r="Q294" s="335"/>
    </row>
    <row r="295" spans="3:17" s="147" customFormat="1">
      <c r="C295" s="314"/>
      <c r="Q295" s="335"/>
    </row>
    <row r="296" spans="3:17" s="147" customFormat="1">
      <c r="C296" s="314"/>
      <c r="Q296" s="335"/>
    </row>
    <row r="297" spans="3:17" s="147" customFormat="1">
      <c r="C297" s="314"/>
      <c r="Q297" s="335"/>
    </row>
    <row r="298" spans="3:17" s="147" customFormat="1">
      <c r="C298" s="314"/>
      <c r="Q298" s="335"/>
    </row>
    <row r="299" spans="3:17" s="147" customFormat="1">
      <c r="C299" s="314"/>
      <c r="Q299" s="335"/>
    </row>
    <row r="300" spans="3:17" s="147" customFormat="1">
      <c r="C300" s="314"/>
      <c r="Q300" s="335"/>
    </row>
    <row r="301" spans="3:17" s="147" customFormat="1">
      <c r="C301" s="314"/>
      <c r="Q301" s="335"/>
    </row>
    <row r="302" spans="3:17" s="147" customFormat="1">
      <c r="C302" s="314"/>
      <c r="Q302" s="335"/>
    </row>
    <row r="303" spans="3:17" s="147" customFormat="1">
      <c r="C303" s="314"/>
      <c r="Q303" s="335"/>
    </row>
    <row r="304" spans="3:17" s="147" customFormat="1">
      <c r="C304" s="314"/>
      <c r="Q304" s="335"/>
    </row>
    <row r="305" spans="3:17" s="147" customFormat="1">
      <c r="C305" s="314"/>
      <c r="Q305" s="335"/>
    </row>
    <row r="306" spans="3:17" s="147" customFormat="1">
      <c r="C306" s="314"/>
      <c r="Q306" s="335"/>
    </row>
    <row r="307" spans="3:17" s="147" customFormat="1">
      <c r="C307" s="314"/>
      <c r="Q307" s="335"/>
    </row>
    <row r="308" spans="3:17" s="147" customFormat="1">
      <c r="C308" s="314"/>
      <c r="Q308" s="335"/>
    </row>
    <row r="309" spans="3:17" s="147" customFormat="1">
      <c r="C309" s="314"/>
      <c r="Q309" s="335"/>
    </row>
    <row r="310" spans="3:17" s="147" customFormat="1">
      <c r="C310" s="314"/>
      <c r="Q310" s="335"/>
    </row>
    <row r="311" spans="3:17" s="147" customFormat="1">
      <c r="C311" s="314"/>
      <c r="Q311" s="335"/>
    </row>
    <row r="312" spans="3:17" s="147" customFormat="1">
      <c r="C312" s="314"/>
      <c r="Q312" s="335"/>
    </row>
    <row r="313" spans="3:17" s="147" customFormat="1">
      <c r="C313" s="314"/>
      <c r="Q313" s="335"/>
    </row>
    <row r="314" spans="3:17" s="147" customFormat="1">
      <c r="C314" s="314"/>
      <c r="Q314" s="335"/>
    </row>
    <row r="315" spans="3:17" s="147" customFormat="1">
      <c r="C315" s="314"/>
      <c r="Q315" s="335"/>
    </row>
    <row r="316" spans="3:17" s="147" customFormat="1">
      <c r="C316" s="314"/>
      <c r="Q316" s="335"/>
    </row>
    <row r="317" spans="3:17" s="147" customFormat="1">
      <c r="C317" s="314"/>
      <c r="Q317" s="335"/>
    </row>
    <row r="318" spans="3:17" s="147" customFormat="1">
      <c r="C318" s="314"/>
      <c r="Q318" s="335"/>
    </row>
    <row r="319" spans="3:17" s="147" customFormat="1">
      <c r="C319" s="314"/>
      <c r="Q319" s="335"/>
    </row>
    <row r="320" spans="3:17" s="147" customFormat="1">
      <c r="C320" s="314"/>
      <c r="Q320" s="335"/>
    </row>
    <row r="321" spans="3:17" s="147" customFormat="1">
      <c r="C321" s="314"/>
      <c r="Q321" s="335"/>
    </row>
    <row r="322" spans="3:17" s="147" customFormat="1">
      <c r="C322" s="314"/>
      <c r="Q322" s="335"/>
    </row>
    <row r="323" spans="3:17" s="147" customFormat="1">
      <c r="C323" s="314"/>
      <c r="Q323" s="335"/>
    </row>
    <row r="324" spans="3:17" s="147" customFormat="1">
      <c r="C324" s="314"/>
      <c r="Q324" s="335"/>
    </row>
    <row r="325" spans="3:17" s="147" customFormat="1">
      <c r="C325" s="314"/>
      <c r="Q325" s="335"/>
    </row>
    <row r="326" spans="3:17" s="147" customFormat="1">
      <c r="C326" s="314"/>
      <c r="Q326" s="335"/>
    </row>
    <row r="327" spans="3:17" s="147" customFormat="1">
      <c r="C327" s="314"/>
      <c r="Q327" s="335"/>
    </row>
    <row r="328" spans="3:17" s="147" customFormat="1">
      <c r="C328" s="314"/>
      <c r="Q328" s="335"/>
    </row>
    <row r="329" spans="3:17" s="147" customFormat="1">
      <c r="C329" s="314"/>
      <c r="Q329" s="335"/>
    </row>
    <row r="330" spans="3:17" s="147" customFormat="1">
      <c r="C330" s="314"/>
      <c r="Q330" s="335"/>
    </row>
    <row r="331" spans="3:17" s="147" customFormat="1">
      <c r="C331" s="314"/>
      <c r="Q331" s="335"/>
    </row>
    <row r="332" spans="3:17" s="147" customFormat="1">
      <c r="C332" s="314"/>
      <c r="Q332" s="335"/>
    </row>
    <row r="333" spans="3:17" s="147" customFormat="1">
      <c r="C333" s="314"/>
      <c r="Q333" s="335"/>
    </row>
    <row r="334" spans="3:17" s="147" customFormat="1">
      <c r="C334" s="314"/>
      <c r="Q334" s="335"/>
    </row>
    <row r="335" spans="3:17" s="147" customFormat="1">
      <c r="C335" s="314"/>
      <c r="Q335" s="335"/>
    </row>
    <row r="336" spans="3:17" s="147" customFormat="1">
      <c r="C336" s="314"/>
      <c r="Q336" s="335"/>
    </row>
    <row r="337" spans="3:17" s="147" customFormat="1">
      <c r="C337" s="314"/>
      <c r="Q337" s="335"/>
    </row>
    <row r="338" spans="3:17" s="147" customFormat="1">
      <c r="C338" s="314"/>
      <c r="Q338" s="335"/>
    </row>
    <row r="339" spans="3:17" s="147" customFormat="1">
      <c r="C339" s="314"/>
      <c r="Q339" s="335"/>
    </row>
    <row r="340" spans="3:17" s="147" customFormat="1">
      <c r="C340" s="314"/>
      <c r="Q340" s="335"/>
    </row>
    <row r="341" spans="3:17" s="147" customFormat="1">
      <c r="C341" s="314"/>
      <c r="Q341" s="335"/>
    </row>
    <row r="342" spans="3:17" s="147" customFormat="1">
      <c r="C342" s="314"/>
      <c r="Q342" s="335"/>
    </row>
    <row r="343" spans="3:17" s="147" customFormat="1">
      <c r="C343" s="314"/>
      <c r="Q343" s="335"/>
    </row>
    <row r="344" spans="3:17" s="147" customFormat="1">
      <c r="C344" s="314"/>
      <c r="Q344" s="335"/>
    </row>
    <row r="345" spans="3:17" s="147" customFormat="1">
      <c r="C345" s="314"/>
      <c r="Q345" s="335"/>
    </row>
    <row r="346" spans="3:17" s="147" customFormat="1">
      <c r="C346" s="314"/>
      <c r="Q346" s="335"/>
    </row>
    <row r="347" spans="3:17" s="147" customFormat="1">
      <c r="C347" s="314"/>
      <c r="Q347" s="335"/>
    </row>
    <row r="348" spans="3:17" s="147" customFormat="1">
      <c r="C348" s="314"/>
      <c r="Q348" s="335"/>
    </row>
    <row r="349" spans="3:17" s="147" customFormat="1">
      <c r="C349" s="314"/>
      <c r="Q349" s="335"/>
    </row>
    <row r="350" spans="3:17" s="147" customFormat="1">
      <c r="C350" s="314"/>
      <c r="Q350" s="335"/>
    </row>
    <row r="351" spans="3:17" s="147" customFormat="1">
      <c r="C351" s="314"/>
      <c r="Q351" s="335"/>
    </row>
    <row r="352" spans="3:17" s="147" customFormat="1">
      <c r="C352" s="314"/>
      <c r="Q352" s="335"/>
    </row>
    <row r="353" spans="3:17" s="147" customFormat="1">
      <c r="C353" s="314"/>
      <c r="Q353" s="335"/>
    </row>
    <row r="354" spans="3:17" s="147" customFormat="1">
      <c r="C354" s="314"/>
      <c r="Q354" s="335"/>
    </row>
    <row r="355" spans="3:17" s="147" customFormat="1">
      <c r="C355" s="314"/>
      <c r="Q355" s="335"/>
    </row>
    <row r="356" spans="3:17" s="147" customFormat="1">
      <c r="C356" s="314"/>
      <c r="Q356" s="335"/>
    </row>
    <row r="357" spans="3:17" s="147" customFormat="1">
      <c r="C357" s="314"/>
      <c r="Q357" s="335"/>
    </row>
    <row r="358" spans="3:17" s="147" customFormat="1">
      <c r="C358" s="314"/>
      <c r="Q358" s="335"/>
    </row>
    <row r="359" spans="3:17" s="147" customFormat="1">
      <c r="C359" s="314"/>
      <c r="Q359" s="335"/>
    </row>
    <row r="360" spans="3:17" s="147" customFormat="1">
      <c r="C360" s="314"/>
      <c r="Q360" s="335"/>
    </row>
    <row r="361" spans="3:17" s="147" customFormat="1">
      <c r="C361" s="314"/>
      <c r="Q361" s="335"/>
    </row>
    <row r="362" spans="3:17" s="147" customFormat="1">
      <c r="C362" s="314"/>
      <c r="Q362" s="335"/>
    </row>
    <row r="363" spans="3:17" s="147" customFormat="1">
      <c r="C363" s="314"/>
      <c r="Q363" s="335"/>
    </row>
    <row r="364" spans="3:17" s="147" customFormat="1">
      <c r="C364" s="314"/>
      <c r="Q364" s="335"/>
    </row>
    <row r="365" spans="3:17" s="147" customFormat="1">
      <c r="C365" s="314"/>
      <c r="Q365" s="335"/>
    </row>
    <row r="366" spans="3:17" s="147" customFormat="1">
      <c r="C366" s="314"/>
      <c r="Q366" s="335"/>
    </row>
    <row r="367" spans="3:17" s="147" customFormat="1">
      <c r="C367" s="314"/>
      <c r="Q367" s="335"/>
    </row>
    <row r="368" spans="3:17" s="147" customFormat="1">
      <c r="C368" s="314"/>
      <c r="Q368" s="335"/>
    </row>
    <row r="369" spans="3:17" s="147" customFormat="1">
      <c r="C369" s="314"/>
      <c r="Q369" s="335"/>
    </row>
    <row r="370" spans="3:17" s="147" customFormat="1">
      <c r="C370" s="314"/>
      <c r="Q370" s="335"/>
    </row>
    <row r="371" spans="3:17" s="147" customFormat="1">
      <c r="C371" s="314"/>
      <c r="Q371" s="335"/>
    </row>
    <row r="372" spans="3:17" s="147" customFormat="1">
      <c r="C372" s="314"/>
      <c r="Q372" s="335"/>
    </row>
    <row r="373" spans="3:17" s="147" customFormat="1">
      <c r="C373" s="314"/>
      <c r="Q373" s="335"/>
    </row>
    <row r="374" spans="3:17" s="147" customFormat="1">
      <c r="C374" s="314"/>
      <c r="Q374" s="335"/>
    </row>
    <row r="375" spans="3:17" s="147" customFormat="1">
      <c r="C375" s="314"/>
      <c r="Q375" s="335"/>
    </row>
    <row r="376" spans="3:17" s="147" customFormat="1">
      <c r="C376" s="314"/>
      <c r="Q376" s="335"/>
    </row>
    <row r="377" spans="3:17" s="147" customFormat="1">
      <c r="C377" s="314"/>
      <c r="Q377" s="335"/>
    </row>
    <row r="378" spans="3:17" s="147" customFormat="1">
      <c r="C378" s="314"/>
      <c r="Q378" s="335"/>
    </row>
    <row r="379" spans="3:17" s="147" customFormat="1">
      <c r="C379" s="314"/>
      <c r="Q379" s="335"/>
    </row>
    <row r="380" spans="3:17" s="147" customFormat="1">
      <c r="C380" s="314"/>
      <c r="Q380" s="335"/>
    </row>
    <row r="381" spans="3:17" s="147" customFormat="1">
      <c r="C381" s="314"/>
      <c r="Q381" s="335"/>
    </row>
    <row r="382" spans="3:17" s="147" customFormat="1">
      <c r="C382" s="314"/>
      <c r="Q382" s="335"/>
    </row>
    <row r="383" spans="3:17" s="147" customFormat="1">
      <c r="C383" s="314"/>
      <c r="Q383" s="335"/>
    </row>
    <row r="384" spans="3:17" s="147" customFormat="1">
      <c r="C384" s="314"/>
      <c r="Q384" s="335"/>
    </row>
    <row r="385" spans="3:17" s="147" customFormat="1">
      <c r="C385" s="314"/>
      <c r="Q385" s="335"/>
    </row>
    <row r="386" spans="3:17" s="147" customFormat="1">
      <c r="C386" s="314"/>
      <c r="Q386" s="335"/>
    </row>
    <row r="387" spans="3:17" s="147" customFormat="1">
      <c r="C387" s="314"/>
      <c r="Q387" s="335"/>
    </row>
    <row r="388" spans="3:17" s="147" customFormat="1">
      <c r="C388" s="314"/>
      <c r="Q388" s="335"/>
    </row>
    <row r="389" spans="3:17" s="147" customFormat="1">
      <c r="C389" s="314"/>
      <c r="Q389" s="335"/>
    </row>
    <row r="390" spans="3:17" s="147" customFormat="1">
      <c r="C390" s="314"/>
      <c r="Q390" s="335"/>
    </row>
    <row r="391" spans="3:17" s="147" customFormat="1">
      <c r="C391" s="314"/>
      <c r="Q391" s="335"/>
    </row>
    <row r="392" spans="3:17" s="147" customFormat="1">
      <c r="C392" s="314"/>
      <c r="Q392" s="335"/>
    </row>
    <row r="393" spans="3:17" s="147" customFormat="1">
      <c r="C393" s="314"/>
      <c r="Q393" s="335"/>
    </row>
    <row r="394" spans="3:17" s="147" customFormat="1">
      <c r="C394" s="314"/>
      <c r="Q394" s="335"/>
    </row>
    <row r="395" spans="3:17" s="147" customFormat="1">
      <c r="C395" s="314"/>
      <c r="Q395" s="335"/>
    </row>
    <row r="396" spans="3:17" s="147" customFormat="1">
      <c r="C396" s="314"/>
      <c r="Q396" s="335"/>
    </row>
    <row r="397" spans="3:17" s="147" customFormat="1">
      <c r="C397" s="314"/>
      <c r="Q397" s="335"/>
    </row>
    <row r="398" spans="3:17" s="147" customFormat="1">
      <c r="C398" s="314"/>
      <c r="Q398" s="335"/>
    </row>
    <row r="399" spans="3:17" s="147" customFormat="1">
      <c r="C399" s="314"/>
      <c r="Q399" s="335"/>
    </row>
    <row r="400" spans="3:17" s="147" customFormat="1">
      <c r="C400" s="314"/>
      <c r="Q400" s="335"/>
    </row>
    <row r="401" spans="3:17" s="147" customFormat="1">
      <c r="C401" s="314"/>
      <c r="Q401" s="335"/>
    </row>
    <row r="402" spans="3:17" s="147" customFormat="1">
      <c r="C402" s="314"/>
      <c r="Q402" s="335"/>
    </row>
    <row r="403" spans="3:17" s="147" customFormat="1">
      <c r="C403" s="314"/>
      <c r="Q403" s="335"/>
    </row>
    <row r="404" spans="3:17" s="147" customFormat="1">
      <c r="C404" s="314"/>
      <c r="Q404" s="335"/>
    </row>
    <row r="405" spans="3:17" s="147" customFormat="1">
      <c r="C405" s="314"/>
      <c r="Q405" s="335"/>
    </row>
    <row r="406" spans="3:17" s="147" customFormat="1">
      <c r="C406" s="314"/>
      <c r="Q406" s="335"/>
    </row>
    <row r="407" spans="3:17" s="147" customFormat="1">
      <c r="C407" s="314"/>
      <c r="Q407" s="335"/>
    </row>
    <row r="408" spans="3:17" s="147" customFormat="1">
      <c r="C408" s="314"/>
      <c r="Q408" s="335"/>
    </row>
    <row r="409" spans="3:17" s="147" customFormat="1">
      <c r="C409" s="314"/>
      <c r="Q409" s="335"/>
    </row>
    <row r="410" spans="3:17" s="147" customFormat="1">
      <c r="C410" s="314"/>
      <c r="Q410" s="335"/>
    </row>
    <row r="411" spans="3:17" s="147" customFormat="1">
      <c r="C411" s="314"/>
      <c r="Q411" s="335"/>
    </row>
    <row r="412" spans="3:17" s="147" customFormat="1">
      <c r="C412" s="314"/>
      <c r="Q412" s="335"/>
    </row>
    <row r="413" spans="3:17" s="147" customFormat="1">
      <c r="C413" s="314"/>
      <c r="Q413" s="335"/>
    </row>
    <row r="414" spans="3:17" s="147" customFormat="1">
      <c r="C414" s="314"/>
      <c r="Q414" s="335"/>
    </row>
    <row r="415" spans="3:17" s="147" customFormat="1">
      <c r="C415" s="314"/>
      <c r="Q415" s="335"/>
    </row>
    <row r="416" spans="3:17" s="147" customFormat="1">
      <c r="C416" s="314"/>
      <c r="Q416" s="335"/>
    </row>
    <row r="417" spans="3:17" s="147" customFormat="1">
      <c r="C417" s="314"/>
      <c r="Q417" s="335"/>
    </row>
    <row r="418" spans="3:17" s="147" customFormat="1">
      <c r="C418" s="314"/>
      <c r="Q418" s="335"/>
    </row>
    <row r="419" spans="3:17" s="147" customFormat="1">
      <c r="C419" s="314"/>
      <c r="Q419" s="335"/>
    </row>
    <row r="420" spans="3:17" s="147" customFormat="1">
      <c r="C420" s="314"/>
      <c r="Q420" s="335"/>
    </row>
    <row r="421" spans="3:17" s="147" customFormat="1">
      <c r="C421" s="314"/>
      <c r="Q421" s="335"/>
    </row>
    <row r="422" spans="3:17" s="147" customFormat="1">
      <c r="C422" s="314"/>
      <c r="Q422" s="335"/>
    </row>
    <row r="423" spans="3:17" s="147" customFormat="1">
      <c r="C423" s="314"/>
      <c r="Q423" s="335"/>
    </row>
    <row r="424" spans="3:17" s="147" customFormat="1">
      <c r="C424" s="314"/>
      <c r="Q424" s="335"/>
    </row>
    <row r="425" spans="3:17" s="147" customFormat="1">
      <c r="C425" s="314"/>
      <c r="Q425" s="335"/>
    </row>
    <row r="426" spans="3:17" s="147" customFormat="1">
      <c r="C426" s="314"/>
      <c r="Q426" s="335"/>
    </row>
    <row r="427" spans="3:17" s="147" customFormat="1">
      <c r="C427" s="314"/>
      <c r="Q427" s="335"/>
    </row>
    <row r="428" spans="3:17" s="147" customFormat="1">
      <c r="C428" s="314"/>
      <c r="Q428" s="335"/>
    </row>
    <row r="429" spans="3:17" s="147" customFormat="1">
      <c r="C429" s="314"/>
      <c r="Q429" s="335"/>
    </row>
    <row r="430" spans="3:17" s="147" customFormat="1">
      <c r="C430" s="314"/>
      <c r="Q430" s="335"/>
    </row>
    <row r="431" spans="3:17" s="147" customFormat="1">
      <c r="C431" s="314"/>
      <c r="Q431" s="335"/>
    </row>
    <row r="432" spans="3:17" s="147" customFormat="1">
      <c r="C432" s="314"/>
      <c r="Q432" s="335"/>
    </row>
    <row r="433" spans="3:17" s="147" customFormat="1">
      <c r="C433" s="314"/>
      <c r="Q433" s="335"/>
    </row>
    <row r="434" spans="3:17" s="147" customFormat="1">
      <c r="C434" s="314"/>
      <c r="Q434" s="335"/>
    </row>
    <row r="435" spans="3:17" s="147" customFormat="1">
      <c r="C435" s="314"/>
      <c r="Q435" s="335"/>
    </row>
    <row r="436" spans="3:17" s="147" customFormat="1">
      <c r="C436" s="314"/>
      <c r="Q436" s="335"/>
    </row>
    <row r="437" spans="3:17" s="147" customFormat="1">
      <c r="C437" s="314"/>
      <c r="Q437" s="335"/>
    </row>
    <row r="438" spans="3:17" s="147" customFormat="1">
      <c r="C438" s="314"/>
      <c r="Q438" s="335"/>
    </row>
    <row r="439" spans="3:17" s="147" customFormat="1">
      <c r="C439" s="314"/>
      <c r="Q439" s="335"/>
    </row>
    <row r="440" spans="3:17" s="147" customFormat="1">
      <c r="C440" s="314"/>
      <c r="Q440" s="335"/>
    </row>
    <row r="441" spans="3:17" s="147" customFormat="1">
      <c r="C441" s="314"/>
      <c r="Q441" s="335"/>
    </row>
    <row r="442" spans="3:17" s="147" customFormat="1">
      <c r="C442" s="314"/>
      <c r="Q442" s="335"/>
    </row>
    <row r="443" spans="3:17" s="147" customFormat="1">
      <c r="C443" s="314"/>
      <c r="Q443" s="335"/>
    </row>
    <row r="444" spans="3:17" s="147" customFormat="1">
      <c r="C444" s="314"/>
      <c r="Q444" s="335"/>
    </row>
    <row r="445" spans="3:17" s="147" customFormat="1">
      <c r="C445" s="314"/>
      <c r="Q445" s="335"/>
    </row>
    <row r="446" spans="3:17" s="147" customFormat="1">
      <c r="C446" s="314"/>
      <c r="Q446" s="335"/>
    </row>
    <row r="447" spans="3:17" s="147" customFormat="1">
      <c r="C447" s="314"/>
      <c r="Q447" s="335"/>
    </row>
    <row r="448" spans="3:17" s="147" customFormat="1">
      <c r="C448" s="314"/>
      <c r="Q448" s="335"/>
    </row>
    <row r="449" spans="3:17" s="147" customFormat="1">
      <c r="C449" s="314"/>
      <c r="Q449" s="335"/>
    </row>
    <row r="450" spans="3:17" s="147" customFormat="1">
      <c r="C450" s="314"/>
      <c r="Q450" s="335"/>
    </row>
    <row r="451" spans="3:17" s="147" customFormat="1">
      <c r="C451" s="314"/>
      <c r="Q451" s="335"/>
    </row>
    <row r="452" spans="3:17" s="147" customFormat="1">
      <c r="C452" s="314"/>
      <c r="Q452" s="335"/>
    </row>
    <row r="453" spans="3:17" s="147" customFormat="1">
      <c r="C453" s="314"/>
      <c r="Q453" s="335"/>
    </row>
    <row r="454" spans="3:17" s="147" customFormat="1">
      <c r="C454" s="314"/>
      <c r="Q454" s="335"/>
    </row>
    <row r="455" spans="3:17" s="147" customFormat="1">
      <c r="C455" s="314"/>
      <c r="Q455" s="335"/>
    </row>
    <row r="456" spans="3:17" s="147" customFormat="1">
      <c r="C456" s="314"/>
      <c r="Q456" s="335"/>
    </row>
    <row r="457" spans="3:17" s="147" customFormat="1">
      <c r="C457" s="314"/>
      <c r="Q457" s="335"/>
    </row>
    <row r="458" spans="3:17" s="147" customFormat="1">
      <c r="C458" s="314"/>
      <c r="Q458" s="335"/>
    </row>
    <row r="459" spans="3:17" s="147" customFormat="1">
      <c r="C459" s="314"/>
      <c r="Q459" s="335"/>
    </row>
    <row r="460" spans="3:17" s="147" customFormat="1">
      <c r="C460" s="314"/>
      <c r="Q460" s="335"/>
    </row>
    <row r="461" spans="3:17" s="147" customFormat="1">
      <c r="C461" s="314"/>
      <c r="Q461" s="335"/>
    </row>
    <row r="462" spans="3:17" s="147" customFormat="1">
      <c r="C462" s="314"/>
      <c r="Q462" s="335"/>
    </row>
    <row r="463" spans="3:17" s="147" customFormat="1">
      <c r="C463" s="314"/>
      <c r="Q463" s="335"/>
    </row>
    <row r="464" spans="3:17" s="147" customFormat="1">
      <c r="C464" s="314"/>
      <c r="Q464" s="335"/>
    </row>
    <row r="465" spans="3:17" s="147" customFormat="1">
      <c r="C465" s="314"/>
      <c r="Q465" s="335"/>
    </row>
    <row r="466" spans="3:17" s="147" customFormat="1">
      <c r="C466" s="314"/>
      <c r="Q466" s="335"/>
    </row>
    <row r="467" spans="3:17" s="147" customFormat="1">
      <c r="C467" s="314"/>
      <c r="Q467" s="335"/>
    </row>
    <row r="468" spans="3:17" s="147" customFormat="1">
      <c r="C468" s="314"/>
      <c r="Q468" s="335"/>
    </row>
    <row r="469" spans="3:17" s="147" customFormat="1">
      <c r="C469" s="314"/>
      <c r="Q469" s="335"/>
    </row>
    <row r="470" spans="3:17" s="147" customFormat="1">
      <c r="C470" s="314"/>
      <c r="Q470" s="335"/>
    </row>
    <row r="471" spans="3:17" s="147" customFormat="1">
      <c r="C471" s="314"/>
      <c r="Q471" s="335"/>
    </row>
    <row r="472" spans="3:17" s="147" customFormat="1">
      <c r="C472" s="314"/>
      <c r="Q472" s="335"/>
    </row>
    <row r="473" spans="3:17" s="147" customFormat="1">
      <c r="C473" s="314"/>
      <c r="Q473" s="335"/>
    </row>
    <row r="474" spans="3:17" s="147" customFormat="1">
      <c r="C474" s="314"/>
      <c r="Q474" s="335"/>
    </row>
    <row r="475" spans="3:17" s="147" customFormat="1">
      <c r="C475" s="314"/>
      <c r="Q475" s="335"/>
    </row>
    <row r="476" spans="3:17" s="147" customFormat="1">
      <c r="C476" s="314"/>
      <c r="Q476" s="335"/>
    </row>
    <row r="477" spans="3:17" s="147" customFormat="1">
      <c r="C477" s="314"/>
      <c r="Q477" s="335"/>
    </row>
    <row r="478" spans="3:17" s="147" customFormat="1">
      <c r="C478" s="314"/>
      <c r="Q478" s="335"/>
    </row>
    <row r="479" spans="3:17" s="147" customFormat="1">
      <c r="C479" s="314"/>
      <c r="Q479" s="335"/>
    </row>
    <row r="480" spans="3:17" s="147" customFormat="1">
      <c r="C480" s="314"/>
      <c r="Q480" s="335"/>
    </row>
    <row r="481" spans="3:17" s="147" customFormat="1">
      <c r="C481" s="314"/>
      <c r="Q481" s="335"/>
    </row>
    <row r="482" spans="3:17" s="147" customFormat="1">
      <c r="C482" s="314"/>
      <c r="Q482" s="335"/>
    </row>
    <row r="483" spans="3:17" s="147" customFormat="1">
      <c r="C483" s="314"/>
      <c r="Q483" s="335"/>
    </row>
    <row r="484" spans="3:17" s="147" customFormat="1">
      <c r="C484" s="314"/>
      <c r="Q484" s="335"/>
    </row>
    <row r="485" spans="3:17" s="147" customFormat="1">
      <c r="C485" s="314"/>
      <c r="Q485" s="335"/>
    </row>
    <row r="486" spans="3:17" s="147" customFormat="1">
      <c r="C486" s="314"/>
      <c r="Q486" s="335"/>
    </row>
    <row r="487" spans="3:17" s="147" customFormat="1">
      <c r="C487" s="314"/>
      <c r="Q487" s="335"/>
    </row>
    <row r="488" spans="3:17" s="147" customFormat="1">
      <c r="C488" s="314"/>
      <c r="Q488" s="335"/>
    </row>
    <row r="489" spans="3:17" s="147" customFormat="1">
      <c r="C489" s="314"/>
      <c r="Q489" s="335"/>
    </row>
    <row r="490" spans="3:17" s="147" customFormat="1">
      <c r="C490" s="314"/>
      <c r="Q490" s="335"/>
    </row>
    <row r="491" spans="3:17" s="147" customFormat="1">
      <c r="C491" s="314"/>
      <c r="Q491" s="335"/>
    </row>
    <row r="492" spans="3:17" s="147" customFormat="1">
      <c r="C492" s="314"/>
      <c r="Q492" s="335"/>
    </row>
    <row r="493" spans="3:17" s="147" customFormat="1">
      <c r="C493" s="314"/>
      <c r="Q493" s="335"/>
    </row>
    <row r="494" spans="3:17" s="147" customFormat="1">
      <c r="C494" s="314"/>
      <c r="Q494" s="335"/>
    </row>
    <row r="495" spans="3:17" s="147" customFormat="1">
      <c r="C495" s="314"/>
      <c r="Q495" s="335"/>
    </row>
    <row r="496" spans="3:17" s="147" customFormat="1">
      <c r="C496" s="314"/>
      <c r="Q496" s="335"/>
    </row>
    <row r="497" spans="3:17" s="147" customFormat="1">
      <c r="C497" s="314"/>
      <c r="Q497" s="335"/>
    </row>
    <row r="498" spans="3:17" s="147" customFormat="1">
      <c r="C498" s="314"/>
      <c r="Q498" s="335"/>
    </row>
    <row r="499" spans="3:17" s="147" customFormat="1">
      <c r="C499" s="314"/>
      <c r="Q499" s="335"/>
    </row>
    <row r="500" spans="3:17" s="147" customFormat="1">
      <c r="C500" s="314"/>
      <c r="Q500" s="335"/>
    </row>
    <row r="501" spans="3:17" s="147" customFormat="1">
      <c r="C501" s="314"/>
      <c r="Q501" s="335"/>
    </row>
    <row r="502" spans="3:17" s="147" customFormat="1">
      <c r="C502" s="314"/>
      <c r="Q502" s="335"/>
    </row>
    <row r="503" spans="3:17" s="147" customFormat="1">
      <c r="C503" s="314"/>
      <c r="Q503" s="335"/>
    </row>
    <row r="504" spans="3:17" s="147" customFormat="1">
      <c r="C504" s="314"/>
      <c r="Q504" s="335"/>
    </row>
    <row r="505" spans="3:17" s="147" customFormat="1">
      <c r="C505" s="314"/>
      <c r="Q505" s="335"/>
    </row>
    <row r="506" spans="3:17" s="147" customFormat="1">
      <c r="C506" s="314"/>
      <c r="Q506" s="335"/>
    </row>
    <row r="507" spans="3:17" s="147" customFormat="1">
      <c r="C507" s="314"/>
      <c r="Q507" s="335"/>
    </row>
    <row r="508" spans="3:17" s="147" customFormat="1">
      <c r="C508" s="314"/>
      <c r="Q508" s="335"/>
    </row>
    <row r="509" spans="3:17" s="147" customFormat="1">
      <c r="C509" s="314"/>
      <c r="Q509" s="335"/>
    </row>
    <row r="510" spans="3:17" s="147" customFormat="1">
      <c r="C510" s="314"/>
      <c r="Q510" s="335"/>
    </row>
    <row r="511" spans="3:17" s="147" customFormat="1">
      <c r="C511" s="314"/>
      <c r="Q511" s="335"/>
    </row>
    <row r="512" spans="3:17" s="147" customFormat="1">
      <c r="C512" s="314"/>
      <c r="Q512" s="335"/>
    </row>
    <row r="513" spans="3:17" s="147" customFormat="1">
      <c r="C513" s="314"/>
      <c r="Q513" s="335"/>
    </row>
    <row r="514" spans="3:17" s="147" customFormat="1">
      <c r="C514" s="314"/>
      <c r="Q514" s="335"/>
    </row>
    <row r="515" spans="3:17" s="147" customFormat="1">
      <c r="C515" s="314"/>
      <c r="Q515" s="335"/>
    </row>
    <row r="516" spans="3:17" s="147" customFormat="1">
      <c r="C516" s="314"/>
      <c r="Q516" s="335"/>
    </row>
    <row r="517" spans="3:17" s="147" customFormat="1">
      <c r="C517" s="314"/>
      <c r="Q517" s="335"/>
    </row>
    <row r="518" spans="3:17" s="147" customFormat="1">
      <c r="C518" s="314"/>
      <c r="Q518" s="335"/>
    </row>
    <row r="519" spans="3:17" s="147" customFormat="1">
      <c r="C519" s="314"/>
      <c r="Q519" s="335"/>
    </row>
    <row r="520" spans="3:17" s="147" customFormat="1">
      <c r="C520" s="314"/>
      <c r="Q520" s="335"/>
    </row>
    <row r="521" spans="3:17" s="147" customFormat="1">
      <c r="C521" s="314"/>
      <c r="Q521" s="335"/>
    </row>
    <row r="522" spans="3:17" s="147" customFormat="1">
      <c r="C522" s="314"/>
      <c r="Q522" s="335"/>
    </row>
    <row r="523" spans="3:17" s="147" customFormat="1">
      <c r="C523" s="314"/>
      <c r="Q523" s="335"/>
    </row>
    <row r="524" spans="3:17" s="147" customFormat="1">
      <c r="C524" s="314"/>
      <c r="Q524" s="335"/>
    </row>
    <row r="525" spans="3:17" s="147" customFormat="1">
      <c r="C525" s="314"/>
      <c r="Q525" s="335"/>
    </row>
    <row r="526" spans="3:17" s="147" customFormat="1">
      <c r="C526" s="314"/>
      <c r="Q526" s="335"/>
    </row>
    <row r="527" spans="3:17" s="147" customFormat="1">
      <c r="C527" s="314"/>
      <c r="Q527" s="335"/>
    </row>
    <row r="528" spans="3:17" s="147" customFormat="1">
      <c r="C528" s="314"/>
      <c r="Q528" s="335"/>
    </row>
    <row r="529" spans="3:17" s="147" customFormat="1">
      <c r="C529" s="314"/>
      <c r="Q529" s="335"/>
    </row>
    <row r="530" spans="3:17" s="147" customFormat="1">
      <c r="C530" s="314"/>
      <c r="Q530" s="335"/>
    </row>
    <row r="531" spans="3:17" s="147" customFormat="1">
      <c r="C531" s="314"/>
      <c r="Q531" s="335"/>
    </row>
    <row r="532" spans="3:17" s="147" customFormat="1">
      <c r="C532" s="314"/>
      <c r="Q532" s="335"/>
    </row>
    <row r="533" spans="3:17" s="147" customFormat="1">
      <c r="C533" s="314"/>
      <c r="Q533" s="335"/>
    </row>
    <row r="534" spans="3:17" s="147" customFormat="1">
      <c r="C534" s="314"/>
      <c r="Q534" s="335"/>
    </row>
    <row r="535" spans="3:17" s="147" customFormat="1">
      <c r="C535" s="314"/>
      <c r="Q535" s="335"/>
    </row>
    <row r="536" spans="3:17" s="147" customFormat="1">
      <c r="C536" s="314"/>
      <c r="Q536" s="335"/>
    </row>
    <row r="537" spans="3:17" s="147" customFormat="1">
      <c r="C537" s="314"/>
      <c r="Q537" s="335"/>
    </row>
    <row r="538" spans="3:17" s="147" customFormat="1">
      <c r="C538" s="314"/>
      <c r="Q538" s="335"/>
    </row>
    <row r="539" spans="3:17" s="147" customFormat="1">
      <c r="C539" s="314"/>
      <c r="Q539" s="335"/>
    </row>
    <row r="540" spans="3:17" s="147" customFormat="1">
      <c r="C540" s="314"/>
      <c r="Q540" s="335"/>
    </row>
    <row r="541" spans="3:17" s="147" customFormat="1">
      <c r="C541" s="314"/>
      <c r="Q541" s="335"/>
    </row>
    <row r="542" spans="3:17" s="147" customFormat="1">
      <c r="C542" s="314"/>
      <c r="Q542" s="335"/>
    </row>
    <row r="543" spans="3:17" s="147" customFormat="1">
      <c r="C543" s="314"/>
      <c r="Q543" s="335"/>
    </row>
    <row r="544" spans="3:17" s="147" customFormat="1">
      <c r="C544" s="314"/>
      <c r="Q544" s="335"/>
    </row>
    <row r="545" spans="3:17" s="147" customFormat="1">
      <c r="C545" s="314"/>
      <c r="Q545" s="335"/>
    </row>
    <row r="546" spans="3:17" s="147" customFormat="1">
      <c r="C546" s="314"/>
      <c r="Q546" s="335"/>
    </row>
    <row r="547" spans="3:17" s="147" customFormat="1">
      <c r="C547" s="314"/>
      <c r="Q547" s="335"/>
    </row>
    <row r="548" spans="3:17" s="147" customFormat="1">
      <c r="C548" s="314"/>
      <c r="Q548" s="335"/>
    </row>
    <row r="549" spans="3:17" s="147" customFormat="1">
      <c r="C549" s="314"/>
      <c r="Q549" s="335"/>
    </row>
    <row r="550" spans="3:17" s="147" customFormat="1">
      <c r="C550" s="314"/>
      <c r="Q550" s="335"/>
    </row>
    <row r="551" spans="3:17" s="147" customFormat="1">
      <c r="C551" s="314"/>
      <c r="Q551" s="335"/>
    </row>
    <row r="552" spans="3:17" s="147" customFormat="1">
      <c r="C552" s="314"/>
      <c r="Q552" s="335"/>
    </row>
    <row r="553" spans="3:17" s="147" customFormat="1">
      <c r="C553" s="314"/>
      <c r="Q553" s="335"/>
    </row>
    <row r="554" spans="3:17" s="147" customFormat="1">
      <c r="C554" s="314"/>
      <c r="Q554" s="335"/>
    </row>
    <row r="555" spans="3:17" s="147" customFormat="1">
      <c r="C555" s="314"/>
      <c r="Q555" s="335"/>
    </row>
    <row r="556" spans="3:17" s="147" customFormat="1">
      <c r="C556" s="314"/>
      <c r="Q556" s="335"/>
    </row>
    <row r="557" spans="3:17" s="147" customFormat="1">
      <c r="C557" s="314"/>
      <c r="Q557" s="335"/>
    </row>
    <row r="558" spans="3:17" s="147" customFormat="1">
      <c r="C558" s="314"/>
      <c r="Q558" s="335"/>
    </row>
    <row r="559" spans="3:17" s="147" customFormat="1">
      <c r="C559" s="314"/>
      <c r="Q559" s="335"/>
    </row>
    <row r="560" spans="3:17" s="147" customFormat="1">
      <c r="C560" s="314"/>
      <c r="Q560" s="335"/>
    </row>
    <row r="561" spans="3:17" s="147" customFormat="1">
      <c r="C561" s="314"/>
      <c r="Q561" s="335"/>
    </row>
    <row r="562" spans="3:17" s="147" customFormat="1">
      <c r="C562" s="314"/>
      <c r="Q562" s="335"/>
    </row>
    <row r="563" spans="3:17" s="147" customFormat="1">
      <c r="C563" s="314"/>
      <c r="Q563" s="335"/>
    </row>
    <row r="564" spans="3:17" s="147" customFormat="1">
      <c r="C564" s="314"/>
      <c r="Q564" s="335"/>
    </row>
    <row r="565" spans="3:17" s="147" customFormat="1">
      <c r="C565" s="314"/>
      <c r="Q565" s="335"/>
    </row>
    <row r="566" spans="3:17" s="147" customFormat="1">
      <c r="C566" s="314"/>
      <c r="Q566" s="335"/>
    </row>
    <row r="567" spans="3:17" s="147" customFormat="1">
      <c r="C567" s="314"/>
      <c r="Q567" s="335"/>
    </row>
    <row r="568" spans="3:17" s="147" customFormat="1">
      <c r="C568" s="314"/>
      <c r="Q568" s="335"/>
    </row>
    <row r="569" spans="3:17" s="147" customFormat="1">
      <c r="C569" s="314"/>
      <c r="Q569" s="335"/>
    </row>
    <row r="570" spans="3:17" s="147" customFormat="1">
      <c r="C570" s="314"/>
      <c r="Q570" s="335"/>
    </row>
    <row r="571" spans="3:17" s="147" customFormat="1">
      <c r="C571" s="314"/>
      <c r="Q571" s="335"/>
    </row>
    <row r="572" spans="3:17" s="147" customFormat="1">
      <c r="C572" s="314"/>
      <c r="Q572" s="335"/>
    </row>
  </sheetData>
  <sheetProtection algorithmName="SHA-512" hashValue="uRD+COJlTDjidLkcM5ERbNYkVoBykQkCEu5n+mewuyPnvqFxl6eSfFeP+eryeCJhlbFPYBvLi+wexzT7+UYz8A==" saltValue="fzIUYzCMBA1TvlcBj/HKoQ==" spinCount="100000" sheet="1" formatColumns="0" formatRows="0"/>
  <mergeCells count="15">
    <mergeCell ref="M80:M94"/>
    <mergeCell ref="B157:B161"/>
    <mergeCell ref="B153:B156"/>
    <mergeCell ref="E2:H2"/>
    <mergeCell ref="E4:H4"/>
    <mergeCell ref="E3:H3"/>
    <mergeCell ref="B66:L66"/>
    <mergeCell ref="J69:L69"/>
    <mergeCell ref="J68:L68"/>
    <mergeCell ref="J67:L67"/>
    <mergeCell ref="J35:J43"/>
    <mergeCell ref="J31:J34"/>
    <mergeCell ref="J20:J30"/>
    <mergeCell ref="J11:J19"/>
    <mergeCell ref="J144:J147"/>
  </mergeCells>
  <phoneticPr fontId="7" type="noConversion"/>
  <conditionalFormatting sqref="E100 C150:C152 C142:C143">
    <cfRule type="expression" dxfId="25" priority="42">
      <formula>AND(#REF!&gt;0,OR(#REF!&gt;0,#REF!&gt;0))</formula>
    </cfRule>
  </conditionalFormatting>
  <conditionalFormatting sqref="H153:H160 C153:F153 D154:F159 G153:G161">
    <cfRule type="expression" dxfId="24" priority="40">
      <formula>AND(#REF!&gt;0,OR(#REF!&gt;0,#REF!&gt;0))</formula>
    </cfRule>
  </conditionalFormatting>
  <conditionalFormatting sqref="B151:B152">
    <cfRule type="expression" dxfId="23" priority="39">
      <formula>AND(#REF!&gt;0,OR(#REF!&gt;0,#REF!&gt;0))</formula>
    </cfRule>
  </conditionalFormatting>
  <conditionalFormatting sqref="C154:C161 B101:C101">
    <cfRule type="expression" dxfId="22" priority="38">
      <formula>AND(#REF!&gt;0,OR(#REF!&gt;0,#REF!&gt;0))</formula>
    </cfRule>
  </conditionalFormatting>
  <conditionalFormatting sqref="D160:F161">
    <cfRule type="expression" dxfId="21" priority="36">
      <formula>AND(#REF!&gt;0,OR(#REF!&gt;0,#REF!&gt;0))</formula>
    </cfRule>
  </conditionalFormatting>
  <conditionalFormatting sqref="I153:I160">
    <cfRule type="expression" dxfId="20" priority="23">
      <formula>AND(#REF!&gt;0,OR(#REF!&gt;0,#REF!&gt;0))</formula>
    </cfRule>
  </conditionalFormatting>
  <conditionalFormatting sqref="C100:D100">
    <cfRule type="expression" dxfId="19" priority="22">
      <formula>AND(#REF!&gt;0,OR(#REF!&gt;0,#REF!&gt;0))</formula>
    </cfRule>
  </conditionalFormatting>
  <conditionalFormatting sqref="E65">
    <cfRule type="expression" dxfId="18" priority="4">
      <formula>AND(#REF!&gt;0,OR(#REF!&gt;0,#REF!&gt;0))</formula>
    </cfRule>
  </conditionalFormatting>
  <conditionalFormatting sqref="B67:C71">
    <cfRule type="expression" dxfId="17" priority="3">
      <formula>AND(#REF!&gt;0,OR(#REF!&gt;0,#REF!&gt;0))</formula>
    </cfRule>
  </conditionalFormatting>
  <conditionalFormatting sqref="C65:D65">
    <cfRule type="expression" dxfId="16" priority="2">
      <formula>AND(#REF!&gt;0,OR(#REF!&gt;0,#REF!&gt;0))</formula>
    </cfRule>
  </conditionalFormatting>
  <conditionalFormatting sqref="C146:I147">
    <cfRule type="expression" dxfId="15" priority="1">
      <formula>AND(#REF!&gt;0,OR(#REF!&gt;0,#REF!&gt;0))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AA57-D2E2-4AFF-A0AD-FA0B3531B266}">
  <sheetPr codeName="Sheet29">
    <tabColor theme="4" tint="-0.249977111117893"/>
  </sheetPr>
  <dimension ref="A1:AT247"/>
  <sheetViews>
    <sheetView topLeftCell="A2" zoomScale="85" zoomScaleNormal="85" workbookViewId="0">
      <pane ySplit="3375" topLeftCell="A6" activePane="bottomLeft"/>
      <selection pane="bottomLeft" activeCell="J6" sqref="J6"/>
      <selection activeCell="A2" sqref="A2"/>
    </sheetView>
  </sheetViews>
  <sheetFormatPr defaultRowHeight="14.45"/>
  <cols>
    <col min="1" max="1" width="8.7109375" style="147"/>
    <col min="2" max="2" width="24.7109375" customWidth="1"/>
    <col min="3" max="3" width="46.140625" customWidth="1"/>
    <col min="4" max="4" width="13.5703125" customWidth="1"/>
    <col min="5" max="11" width="18.7109375" customWidth="1"/>
    <col min="12" max="12" width="16.85546875" customWidth="1"/>
    <col min="13" max="13" width="11.5703125" style="468" customWidth="1"/>
    <col min="14" max="14" width="12.85546875" style="468" customWidth="1"/>
    <col min="15" max="15" width="13" customWidth="1"/>
    <col min="16" max="16" width="16.7109375" customWidth="1"/>
    <col min="17" max="20" width="13" customWidth="1"/>
    <col min="21" max="21" width="14.5703125" customWidth="1"/>
    <col min="22" max="24" width="13" customWidth="1"/>
    <col min="25" max="25" width="12.140625" customWidth="1"/>
    <col min="26" max="26" width="14.85546875" customWidth="1"/>
    <col min="27" max="27" width="17.140625" customWidth="1"/>
    <col min="28" max="28" width="11.42578125" customWidth="1"/>
    <col min="30" max="30" width="11.5703125" style="147" customWidth="1"/>
    <col min="31" max="46" width="8.7109375" style="147"/>
  </cols>
  <sheetData>
    <row r="1" spans="1:46" s="147" customFormat="1" ht="26.1">
      <c r="A1" s="150" t="s">
        <v>807</v>
      </c>
      <c r="M1" s="540"/>
      <c r="N1" s="540"/>
      <c r="Y1"/>
      <c r="Z1"/>
      <c r="AA1"/>
      <c r="AB1"/>
    </row>
    <row r="2" spans="1:46" s="147" customFormat="1">
      <c r="B2" s="147" t="s">
        <v>808</v>
      </c>
      <c r="M2" s="540"/>
      <c r="N2" s="540"/>
      <c r="Q2" s="689"/>
      <c r="R2" s="689"/>
      <c r="S2" s="689"/>
      <c r="T2" s="689"/>
      <c r="U2" s="689"/>
      <c r="V2" s="689"/>
      <c r="W2" s="689"/>
      <c r="X2" s="689"/>
      <c r="Y2"/>
      <c r="Z2"/>
      <c r="AA2"/>
      <c r="AB2"/>
      <c r="AC2" s="541"/>
    </row>
    <row r="3" spans="1:46" s="147" customFormat="1" ht="15" thickBot="1">
      <c r="B3" s="167" t="s">
        <v>809</v>
      </c>
      <c r="M3" s="540"/>
      <c r="N3" s="540"/>
      <c r="Y3"/>
      <c r="Z3"/>
      <c r="AA3"/>
      <c r="AB3"/>
    </row>
    <row r="4" spans="1:46" s="3" customFormat="1" ht="43.5" customHeight="1">
      <c r="A4" s="148"/>
      <c r="B4" s="1818" t="s">
        <v>169</v>
      </c>
      <c r="C4" s="1819"/>
      <c r="D4" s="1819"/>
      <c r="E4" s="1820"/>
      <c r="F4" s="1818" t="s">
        <v>810</v>
      </c>
      <c r="G4" s="1819"/>
      <c r="H4" s="1819"/>
      <c r="I4" s="1819"/>
      <c r="J4" s="1821" t="s">
        <v>811</v>
      </c>
      <c r="K4" s="1822"/>
      <c r="L4" s="1812" t="s">
        <v>812</v>
      </c>
      <c r="M4" s="1813"/>
      <c r="N4" s="1813"/>
      <c r="O4" s="1813"/>
      <c r="P4" s="1813"/>
      <c r="Q4" s="1813"/>
      <c r="R4" s="1813"/>
      <c r="S4" s="1813"/>
      <c r="T4" s="1814"/>
      <c r="V4" s="1815" t="s">
        <v>813</v>
      </c>
      <c r="W4" s="1816"/>
      <c r="X4" s="1816"/>
      <c r="Y4" s="1817"/>
      <c r="Z4" s="148"/>
      <c r="AA4" s="148"/>
      <c r="AB4" s="148"/>
      <c r="AC4" s="148"/>
      <c r="AD4" s="148"/>
      <c r="AE4" s="148"/>
      <c r="AF4" s="148"/>
      <c r="AG4" s="148"/>
      <c r="AH4" s="148"/>
      <c r="AI4" s="148"/>
      <c r="AJ4" s="148"/>
      <c r="AK4" s="148"/>
      <c r="AL4" s="148"/>
      <c r="AM4" s="148"/>
      <c r="AN4" s="148"/>
      <c r="AO4" s="148"/>
      <c r="AP4" s="148"/>
      <c r="AQ4" s="148"/>
    </row>
    <row r="5" spans="1:46" s="3" customFormat="1" ht="25.5" customHeight="1">
      <c r="A5" s="148"/>
      <c r="B5" s="652"/>
      <c r="C5" s="653"/>
      <c r="D5" s="653"/>
      <c r="E5" s="669">
        <v>1</v>
      </c>
      <c r="F5" s="188">
        <v>2</v>
      </c>
      <c r="G5" s="188">
        <v>3</v>
      </c>
      <c r="H5" s="188">
        <v>4</v>
      </c>
      <c r="I5" s="188">
        <v>5</v>
      </c>
      <c r="J5" s="824">
        <v>6</v>
      </c>
      <c r="K5" s="857">
        <v>7</v>
      </c>
      <c r="L5" s="670">
        <v>8</v>
      </c>
      <c r="M5" s="671">
        <v>9</v>
      </c>
      <c r="N5" s="671">
        <v>10</v>
      </c>
      <c r="O5" s="671">
        <v>11</v>
      </c>
      <c r="P5" s="671">
        <v>12</v>
      </c>
      <c r="Q5" s="671">
        <v>13</v>
      </c>
      <c r="R5" s="671">
        <v>14</v>
      </c>
      <c r="S5" s="671">
        <v>15</v>
      </c>
      <c r="T5" s="672">
        <v>16</v>
      </c>
      <c r="V5" s="673">
        <v>15</v>
      </c>
      <c r="W5" s="674">
        <v>16</v>
      </c>
      <c r="X5" s="674">
        <v>17</v>
      </c>
      <c r="Y5" s="675">
        <v>18</v>
      </c>
      <c r="Z5" s="148"/>
      <c r="AA5" s="148"/>
      <c r="AB5" s="148"/>
      <c r="AC5" s="148"/>
      <c r="AD5" s="148"/>
      <c r="AE5" s="148"/>
      <c r="AF5" s="148"/>
      <c r="AG5" s="148"/>
      <c r="AH5" s="148"/>
      <c r="AI5" s="148"/>
      <c r="AJ5" s="148"/>
      <c r="AK5" s="148"/>
      <c r="AL5" s="148"/>
      <c r="AM5" s="148"/>
      <c r="AN5" s="148"/>
      <c r="AO5" s="148"/>
      <c r="AP5" s="148"/>
      <c r="AQ5" s="148"/>
    </row>
    <row r="6" spans="1:46" ht="87.6" thickBot="1">
      <c r="B6" s="559" t="s">
        <v>171</v>
      </c>
      <c r="C6" s="560" t="s">
        <v>172</v>
      </c>
      <c r="D6" s="561" t="s">
        <v>814</v>
      </c>
      <c r="E6" s="562" t="s">
        <v>815</v>
      </c>
      <c r="F6" s="651" t="s">
        <v>816</v>
      </c>
      <c r="G6" s="651" t="s">
        <v>817</v>
      </c>
      <c r="H6" s="651" t="s">
        <v>818</v>
      </c>
      <c r="I6" s="651" t="s">
        <v>819</v>
      </c>
      <c r="J6" s="825" t="s">
        <v>820</v>
      </c>
      <c r="K6" s="858" t="s">
        <v>821</v>
      </c>
      <c r="L6" s="563" t="s">
        <v>342</v>
      </c>
      <c r="M6" s="564" t="s">
        <v>345</v>
      </c>
      <c r="N6" s="564" t="s">
        <v>160</v>
      </c>
      <c r="O6" s="564" t="s">
        <v>175</v>
      </c>
      <c r="P6" s="564" t="s">
        <v>151</v>
      </c>
      <c r="Q6" s="564" t="s">
        <v>349</v>
      </c>
      <c r="R6" s="564" t="s">
        <v>177</v>
      </c>
      <c r="S6" s="564" t="s">
        <v>352</v>
      </c>
      <c r="T6" s="565" t="s">
        <v>162</v>
      </c>
      <c r="V6" s="625" t="s">
        <v>822</v>
      </c>
      <c r="W6" s="626" t="s">
        <v>823</v>
      </c>
      <c r="X6" s="626" t="s">
        <v>824</v>
      </c>
      <c r="Y6" s="627" t="s">
        <v>825</v>
      </c>
      <c r="Z6" s="147" t="s">
        <v>547</v>
      </c>
      <c r="AA6" s="470"/>
      <c r="AB6" s="147"/>
      <c r="AC6" s="147"/>
      <c r="AR6"/>
      <c r="AS6"/>
      <c r="AT6"/>
    </row>
    <row r="7" spans="1:46" ht="14.45" customHeight="1">
      <c r="A7" s="147">
        <v>1</v>
      </c>
      <c r="B7" s="555" t="s">
        <v>691</v>
      </c>
      <c r="C7" s="634" t="s">
        <v>180</v>
      </c>
      <c r="D7" s="635">
        <v>1</v>
      </c>
      <c r="E7" s="636" t="str">
        <f>$B$8&amp;D7</f>
        <v>ph1</v>
      </c>
      <c r="F7" s="647"/>
      <c r="G7" s="647"/>
      <c r="H7" s="647"/>
      <c r="I7" s="647"/>
      <c r="J7" s="826">
        <f>Assumptions!$D$23/Assumptions!$D$22</f>
        <v>1.0933333333333333</v>
      </c>
      <c r="K7" s="859">
        <v>0</v>
      </c>
      <c r="L7" s="556">
        <v>1</v>
      </c>
      <c r="M7" s="557">
        <v>1</v>
      </c>
      <c r="N7" s="557">
        <v>0</v>
      </c>
      <c r="O7" s="557">
        <v>0</v>
      </c>
      <c r="P7" s="557">
        <v>0</v>
      </c>
      <c r="Q7" s="538">
        <v>1</v>
      </c>
      <c r="R7" s="538">
        <v>0</v>
      </c>
      <c r="S7" s="538">
        <v>1</v>
      </c>
      <c r="T7" s="558">
        <v>0</v>
      </c>
      <c r="V7" s="628"/>
      <c r="W7" s="629"/>
      <c r="X7" s="629"/>
      <c r="Y7" s="630"/>
      <c r="Z7" s="147"/>
      <c r="AA7" s="147"/>
      <c r="AB7" s="147"/>
      <c r="AC7" s="147"/>
      <c r="AR7"/>
      <c r="AS7"/>
      <c r="AT7"/>
    </row>
    <row r="8" spans="1:46">
      <c r="A8" s="147">
        <v>2</v>
      </c>
      <c r="B8" s="548" t="s">
        <v>826</v>
      </c>
      <c r="C8" s="637" t="s">
        <v>181</v>
      </c>
      <c r="D8" s="638">
        <v>2</v>
      </c>
      <c r="E8" s="639" t="str">
        <f t="shared" ref="E8:E14" si="0">$B$8&amp;D8</f>
        <v>ph2</v>
      </c>
      <c r="F8" s="648"/>
      <c r="G8" s="648"/>
      <c r="H8" s="648"/>
      <c r="I8" s="648"/>
      <c r="J8" s="826">
        <v>1</v>
      </c>
      <c r="K8" s="859">
        <v>0</v>
      </c>
      <c r="L8" s="551">
        <v>1</v>
      </c>
      <c r="M8" s="538">
        <v>1</v>
      </c>
      <c r="N8" s="538">
        <v>0</v>
      </c>
      <c r="O8" s="538">
        <v>0</v>
      </c>
      <c r="P8" s="538">
        <v>1</v>
      </c>
      <c r="Q8" s="538">
        <v>1</v>
      </c>
      <c r="R8" s="538">
        <v>0</v>
      </c>
      <c r="S8" s="538">
        <v>1</v>
      </c>
      <c r="T8" s="552">
        <v>0</v>
      </c>
      <c r="V8" s="631"/>
      <c r="W8" s="632"/>
      <c r="X8" s="632"/>
      <c r="Y8" s="633"/>
      <c r="Z8" s="147"/>
      <c r="AA8" s="147"/>
      <c r="AB8" s="147"/>
      <c r="AC8" s="147"/>
      <c r="AR8"/>
      <c r="AS8"/>
      <c r="AT8"/>
    </row>
    <row r="9" spans="1:46">
      <c r="A9" s="147">
        <v>3</v>
      </c>
      <c r="B9" s="547"/>
      <c r="C9" s="637" t="s">
        <v>182</v>
      </c>
      <c r="D9" s="638">
        <v>3</v>
      </c>
      <c r="E9" s="639" t="str">
        <f t="shared" si="0"/>
        <v>ph3</v>
      </c>
      <c r="F9" s="648"/>
      <c r="G9" s="648"/>
      <c r="H9" s="648"/>
      <c r="I9" s="648"/>
      <c r="J9" s="826">
        <f>Assumptions!$D$23/Assumptions!$D$24</f>
        <v>0.89130434782608692</v>
      </c>
      <c r="K9" s="859">
        <v>0</v>
      </c>
      <c r="L9" s="551">
        <v>1</v>
      </c>
      <c r="M9" s="538">
        <v>1</v>
      </c>
      <c r="N9" s="538">
        <v>0</v>
      </c>
      <c r="O9" s="538">
        <v>0</v>
      </c>
      <c r="P9" s="538">
        <v>1</v>
      </c>
      <c r="Q9" s="538">
        <v>1</v>
      </c>
      <c r="R9" s="538">
        <v>0</v>
      </c>
      <c r="S9" s="538">
        <v>1</v>
      </c>
      <c r="T9" s="552">
        <v>0</v>
      </c>
      <c r="V9" s="631"/>
      <c r="W9" s="632"/>
      <c r="X9" s="632"/>
      <c r="Y9" s="633"/>
      <c r="Z9" s="147"/>
      <c r="AA9" s="147"/>
      <c r="AB9" s="147"/>
      <c r="AC9" s="147"/>
      <c r="AR9"/>
      <c r="AS9"/>
      <c r="AT9"/>
    </row>
    <row r="10" spans="1:46">
      <c r="A10" s="147">
        <v>4</v>
      </c>
      <c r="B10" s="547"/>
      <c r="C10" s="637" t="s">
        <v>183</v>
      </c>
      <c r="D10" s="638">
        <v>4</v>
      </c>
      <c r="E10" s="639" t="str">
        <f t="shared" si="0"/>
        <v>ph4</v>
      </c>
      <c r="F10" s="648"/>
      <c r="G10" s="648"/>
      <c r="H10" s="648"/>
      <c r="I10" s="648"/>
      <c r="J10" s="826">
        <f>J9</f>
        <v>0.89130434782608692</v>
      </c>
      <c r="K10" s="859">
        <v>0</v>
      </c>
      <c r="L10" s="551">
        <v>1</v>
      </c>
      <c r="M10" s="538">
        <v>1</v>
      </c>
      <c r="N10" s="538">
        <v>0</v>
      </c>
      <c r="O10" s="538">
        <v>0</v>
      </c>
      <c r="P10" s="538">
        <v>0</v>
      </c>
      <c r="Q10" s="538">
        <v>0</v>
      </c>
      <c r="R10" s="538">
        <v>0</v>
      </c>
      <c r="S10" s="538">
        <v>0</v>
      </c>
      <c r="T10" s="552">
        <v>0</v>
      </c>
      <c r="V10" s="631"/>
      <c r="W10" s="632"/>
      <c r="X10" s="632"/>
      <c r="Y10" s="633"/>
      <c r="Z10" s="147"/>
      <c r="AA10" s="147"/>
      <c r="AB10" s="147"/>
      <c r="AC10" s="147"/>
      <c r="AR10"/>
      <c r="AS10"/>
      <c r="AT10"/>
    </row>
    <row r="11" spans="1:46">
      <c r="A11" s="147">
        <v>5</v>
      </c>
      <c r="B11" s="547"/>
      <c r="C11" s="637" t="s">
        <v>184</v>
      </c>
      <c r="D11" s="638">
        <v>5</v>
      </c>
      <c r="E11" s="639" t="str">
        <f t="shared" si="0"/>
        <v>ph5</v>
      </c>
      <c r="F11" s="648"/>
      <c r="G11" s="648"/>
      <c r="H11" s="648"/>
      <c r="I11" s="648"/>
      <c r="J11" s="826">
        <f>Assumptions!$D$23</f>
        <v>0.82</v>
      </c>
      <c r="K11" s="859">
        <f>Assumptions!$D$98</f>
        <v>0.20990472049100101</v>
      </c>
      <c r="L11" s="551">
        <v>1</v>
      </c>
      <c r="M11" s="538">
        <v>1</v>
      </c>
      <c r="N11" s="538">
        <v>0</v>
      </c>
      <c r="O11" s="538">
        <v>0</v>
      </c>
      <c r="P11" s="538">
        <v>0</v>
      </c>
      <c r="Q11" s="538">
        <v>1</v>
      </c>
      <c r="R11" s="538">
        <v>0</v>
      </c>
      <c r="S11" s="538">
        <v>1</v>
      </c>
      <c r="T11" s="552">
        <v>0</v>
      </c>
      <c r="V11" s="631"/>
      <c r="W11" s="632"/>
      <c r="X11" s="632"/>
      <c r="Y11" s="633"/>
      <c r="Z11" s="147"/>
      <c r="AA11" s="147"/>
      <c r="AB11" s="147"/>
      <c r="AC11" s="147"/>
      <c r="AR11"/>
      <c r="AS11"/>
      <c r="AT11"/>
    </row>
    <row r="12" spans="1:46">
      <c r="A12" s="147">
        <v>6</v>
      </c>
      <c r="B12" s="547"/>
      <c r="C12" s="637" t="s">
        <v>185</v>
      </c>
      <c r="D12" s="638">
        <v>6</v>
      </c>
      <c r="E12" s="639" t="str">
        <f t="shared" si="0"/>
        <v>ph6</v>
      </c>
      <c r="F12" s="648"/>
      <c r="G12" s="648"/>
      <c r="H12" s="648"/>
      <c r="I12" s="648"/>
      <c r="J12" s="826">
        <f>Assumptions!$D$23</f>
        <v>0.82</v>
      </c>
      <c r="K12" s="859">
        <f>Assumptions!$D$98</f>
        <v>0.20990472049100101</v>
      </c>
      <c r="L12" s="551">
        <v>1</v>
      </c>
      <c r="M12" s="538">
        <v>1</v>
      </c>
      <c r="N12" s="538">
        <v>0</v>
      </c>
      <c r="O12" s="538">
        <v>0</v>
      </c>
      <c r="P12" s="538">
        <v>0</v>
      </c>
      <c r="Q12" s="538">
        <v>0</v>
      </c>
      <c r="R12" s="538">
        <v>0</v>
      </c>
      <c r="S12" s="538">
        <v>0</v>
      </c>
      <c r="T12" s="552">
        <v>0</v>
      </c>
      <c r="V12" s="631"/>
      <c r="W12" s="632"/>
      <c r="X12" s="632"/>
      <c r="Y12" s="633"/>
      <c r="Z12" s="147"/>
      <c r="AA12" s="147"/>
      <c r="AB12" s="147"/>
      <c r="AC12" s="147"/>
      <c r="AR12"/>
      <c r="AS12"/>
      <c r="AT12"/>
    </row>
    <row r="13" spans="1:46">
      <c r="A13" s="147">
        <v>7</v>
      </c>
      <c r="B13" s="547"/>
      <c r="C13" s="637" t="s">
        <v>827</v>
      </c>
      <c r="D13" s="638">
        <v>7</v>
      </c>
      <c r="E13" s="639" t="str">
        <f t="shared" si="0"/>
        <v>ph7</v>
      </c>
      <c r="F13" s="648"/>
      <c r="G13" s="648"/>
      <c r="H13" s="648"/>
      <c r="I13" s="648"/>
      <c r="J13" s="826">
        <f>Assumptions!$D$23/Assumptions!$D$26</f>
        <v>0.27333333333333332</v>
      </c>
      <c r="K13" s="859">
        <f>Assumptions!$D$97</f>
        <v>0.12403086585831501</v>
      </c>
      <c r="L13" s="551">
        <v>1</v>
      </c>
      <c r="M13" s="538">
        <v>1</v>
      </c>
      <c r="N13" s="538">
        <v>0</v>
      </c>
      <c r="O13" s="538">
        <v>0</v>
      </c>
      <c r="P13" s="538">
        <v>0</v>
      </c>
      <c r="Q13" s="538">
        <v>1</v>
      </c>
      <c r="R13" s="538">
        <v>0</v>
      </c>
      <c r="S13" s="538">
        <v>0</v>
      </c>
      <c r="T13" s="552">
        <v>0</v>
      </c>
      <c r="V13" s="631"/>
      <c r="W13" s="632"/>
      <c r="X13" s="632"/>
      <c r="Y13" s="633"/>
      <c r="Z13" s="147"/>
      <c r="AA13" s="147"/>
      <c r="AB13" s="147"/>
      <c r="AC13" s="147"/>
      <c r="AR13"/>
      <c r="AS13"/>
      <c r="AT13"/>
    </row>
    <row r="14" spans="1:46">
      <c r="A14" s="147">
        <v>9</v>
      </c>
      <c r="B14" s="547"/>
      <c r="C14" s="637" t="s">
        <v>331</v>
      </c>
      <c r="D14" s="638">
        <v>0</v>
      </c>
      <c r="E14" s="639" t="str">
        <f t="shared" si="0"/>
        <v>ph0</v>
      </c>
      <c r="F14" s="648"/>
      <c r="G14" s="648" t="s">
        <v>828</v>
      </c>
      <c r="H14" s="648" t="s">
        <v>829</v>
      </c>
      <c r="I14" s="648" t="s">
        <v>830</v>
      </c>
      <c r="J14" s="1007">
        <v>0</v>
      </c>
      <c r="K14" s="860">
        <v>0</v>
      </c>
      <c r="L14" s="551">
        <v>0</v>
      </c>
      <c r="M14" s="538">
        <v>0</v>
      </c>
      <c r="N14" s="538">
        <v>0</v>
      </c>
      <c r="O14" s="538">
        <v>0</v>
      </c>
      <c r="P14" s="538">
        <v>0</v>
      </c>
      <c r="Q14" s="538">
        <v>0</v>
      </c>
      <c r="R14" s="538">
        <v>0</v>
      </c>
      <c r="S14" s="538">
        <v>0</v>
      </c>
      <c r="T14" s="552">
        <v>0</v>
      </c>
      <c r="V14" s="631"/>
      <c r="W14" s="632"/>
      <c r="X14" s="632"/>
      <c r="Y14" s="633"/>
      <c r="Z14" s="147"/>
      <c r="AA14" s="147"/>
      <c r="AB14" s="147"/>
      <c r="AC14" s="147"/>
      <c r="AR14"/>
      <c r="AS14"/>
      <c r="AT14"/>
    </row>
    <row r="15" spans="1:46">
      <c r="A15" s="147">
        <v>10</v>
      </c>
      <c r="B15" s="549" t="s">
        <v>831</v>
      </c>
      <c r="C15" s="640" t="s">
        <v>331</v>
      </c>
      <c r="D15" s="641">
        <v>0</v>
      </c>
      <c r="E15" s="642" t="str">
        <f>$B$16&amp;D15</f>
        <v>cc0</v>
      </c>
      <c r="F15" s="649"/>
      <c r="G15" s="649"/>
      <c r="H15" s="649"/>
      <c r="I15" s="649"/>
      <c r="J15" s="828" t="s">
        <v>832</v>
      </c>
      <c r="K15" s="861"/>
      <c r="L15" s="553">
        <v>0</v>
      </c>
      <c r="M15" s="539">
        <v>0</v>
      </c>
      <c r="N15" s="539">
        <v>0</v>
      </c>
      <c r="O15" s="539">
        <v>0</v>
      </c>
      <c r="P15" s="539">
        <v>0</v>
      </c>
      <c r="Q15" s="539">
        <v>0</v>
      </c>
      <c r="R15" s="539">
        <v>0</v>
      </c>
      <c r="S15" s="539">
        <v>0</v>
      </c>
      <c r="T15" s="554">
        <v>0</v>
      </c>
      <c r="V15" s="631"/>
      <c r="W15" s="632"/>
      <c r="X15" s="632"/>
      <c r="Y15" s="633"/>
      <c r="Z15" s="147"/>
      <c r="AA15" s="147"/>
      <c r="AB15" s="147"/>
      <c r="AC15" s="147"/>
      <c r="AR15"/>
      <c r="AS15"/>
      <c r="AT15"/>
    </row>
    <row r="16" spans="1:46">
      <c r="A16" s="147">
        <v>12</v>
      </c>
      <c r="B16" s="549" t="s">
        <v>833</v>
      </c>
      <c r="C16" s="640" t="s">
        <v>188</v>
      </c>
      <c r="D16" s="641">
        <v>1</v>
      </c>
      <c r="E16" s="642" t="str">
        <f t="shared" ref="E16:E17" si="1">$B$16&amp;D16</f>
        <v>cc1</v>
      </c>
      <c r="F16" s="649"/>
      <c r="G16" s="649"/>
      <c r="H16" s="649"/>
      <c r="I16" s="649"/>
      <c r="J16" s="828" t="str">
        <f>E16</f>
        <v>cc1</v>
      </c>
      <c r="K16" s="861"/>
      <c r="L16" s="553">
        <v>0</v>
      </c>
      <c r="M16" s="539">
        <v>0</v>
      </c>
      <c r="N16" s="539">
        <v>0</v>
      </c>
      <c r="O16" s="539">
        <v>0</v>
      </c>
      <c r="P16" s="539">
        <v>0</v>
      </c>
      <c r="Q16" s="539">
        <v>1</v>
      </c>
      <c r="R16" s="539">
        <v>1</v>
      </c>
      <c r="S16" s="539">
        <v>1</v>
      </c>
      <c r="T16" s="554">
        <v>0</v>
      </c>
      <c r="V16" s="631"/>
      <c r="W16" s="632"/>
      <c r="X16" s="632"/>
      <c r="Y16" s="633"/>
      <c r="Z16" s="147"/>
      <c r="AA16" s="147"/>
      <c r="AB16" s="147"/>
      <c r="AC16" s="147"/>
      <c r="AR16"/>
      <c r="AS16"/>
      <c r="AT16"/>
    </row>
    <row r="17" spans="1:46">
      <c r="A17" s="147">
        <v>14</v>
      </c>
      <c r="B17" s="549"/>
      <c r="C17" s="640" t="s">
        <v>189</v>
      </c>
      <c r="D17" s="641">
        <v>2</v>
      </c>
      <c r="E17" s="642" t="str">
        <f t="shared" si="1"/>
        <v>cc2</v>
      </c>
      <c r="F17" s="649"/>
      <c r="G17" s="649"/>
      <c r="H17" s="649"/>
      <c r="I17" s="649"/>
      <c r="J17" s="828" t="str">
        <f>E17</f>
        <v>cc2</v>
      </c>
      <c r="K17" s="861"/>
      <c r="L17" s="553">
        <v>0</v>
      </c>
      <c r="M17" s="539">
        <v>0</v>
      </c>
      <c r="N17" s="539">
        <v>1</v>
      </c>
      <c r="O17" s="539">
        <v>0</v>
      </c>
      <c r="P17" s="539">
        <v>0</v>
      </c>
      <c r="Q17" s="539">
        <v>1</v>
      </c>
      <c r="R17" s="539">
        <v>1</v>
      </c>
      <c r="S17" s="539">
        <v>1</v>
      </c>
      <c r="T17" s="554">
        <v>1</v>
      </c>
      <c r="V17" s="631"/>
      <c r="W17" s="632"/>
      <c r="X17" s="632"/>
      <c r="Y17" s="633"/>
      <c r="Z17" s="147"/>
      <c r="AA17" s="147"/>
      <c r="AB17" s="147"/>
      <c r="AC17" s="147"/>
      <c r="AR17"/>
      <c r="AS17"/>
      <c r="AT17"/>
    </row>
    <row r="18" spans="1:46">
      <c r="A18" s="147">
        <v>15</v>
      </c>
      <c r="B18" s="547" t="s">
        <v>834</v>
      </c>
      <c r="C18" s="637" t="s">
        <v>191</v>
      </c>
      <c r="D18" s="638">
        <v>1</v>
      </c>
      <c r="E18" s="643" t="str">
        <f>$B$19&amp;D18</f>
        <v>ah1</v>
      </c>
      <c r="F18" s="647"/>
      <c r="G18" s="647"/>
      <c r="H18" s="647" t="s">
        <v>835</v>
      </c>
      <c r="I18" s="647"/>
      <c r="J18" s="827" t="str">
        <f>E18</f>
        <v>ah1</v>
      </c>
      <c r="K18" s="860"/>
      <c r="L18" s="551">
        <v>1</v>
      </c>
      <c r="M18" s="538">
        <v>1</v>
      </c>
      <c r="N18" s="538">
        <v>0</v>
      </c>
      <c r="O18" s="538">
        <v>0</v>
      </c>
      <c r="P18" s="538">
        <v>0</v>
      </c>
      <c r="Q18" s="538">
        <v>0</v>
      </c>
      <c r="R18" s="538">
        <v>0</v>
      </c>
      <c r="S18" s="538">
        <v>0</v>
      </c>
      <c r="T18" s="552">
        <v>0</v>
      </c>
      <c r="V18" s="631"/>
      <c r="W18" s="632"/>
      <c r="X18" s="632"/>
      <c r="Y18" s="633"/>
      <c r="Z18" s="147"/>
      <c r="AA18" s="147"/>
      <c r="AB18" s="147"/>
      <c r="AC18" s="147"/>
      <c r="AR18"/>
      <c r="AS18"/>
      <c r="AT18"/>
    </row>
    <row r="19" spans="1:46">
      <c r="A19" s="147">
        <v>16</v>
      </c>
      <c r="B19" s="548" t="s">
        <v>836</v>
      </c>
      <c r="C19" s="637" t="s">
        <v>192</v>
      </c>
      <c r="D19" s="638">
        <v>2</v>
      </c>
      <c r="E19" s="643" t="str">
        <f>$B$19&amp;D19</f>
        <v>ah2</v>
      </c>
      <c r="F19" s="647"/>
      <c r="G19" s="647"/>
      <c r="H19" s="647" t="s">
        <v>835</v>
      </c>
      <c r="I19" s="647"/>
      <c r="J19" s="827" t="str">
        <f>E19</f>
        <v>ah2</v>
      </c>
      <c r="K19" s="860"/>
      <c r="L19" s="551">
        <v>1</v>
      </c>
      <c r="M19" s="538">
        <v>1</v>
      </c>
      <c r="N19" s="538">
        <v>0</v>
      </c>
      <c r="O19" s="538">
        <v>1</v>
      </c>
      <c r="P19" s="538">
        <v>0</v>
      </c>
      <c r="Q19" s="538">
        <v>0</v>
      </c>
      <c r="R19" s="538">
        <v>0</v>
      </c>
      <c r="S19" s="538">
        <v>0</v>
      </c>
      <c r="T19" s="552">
        <v>0</v>
      </c>
      <c r="V19" s="631"/>
      <c r="W19" s="632"/>
      <c r="X19" s="632"/>
      <c r="Y19" s="633"/>
      <c r="Z19" s="147"/>
      <c r="AA19" s="147"/>
      <c r="AB19" s="147"/>
      <c r="AC19" s="147"/>
      <c r="AR19"/>
      <c r="AS19"/>
      <c r="AT19"/>
    </row>
    <row r="20" spans="1:46">
      <c r="B20" s="548"/>
      <c r="C20" s="637" t="s">
        <v>193</v>
      </c>
      <c r="D20" s="638">
        <v>3</v>
      </c>
      <c r="E20" s="643" t="str">
        <f t="shared" ref="E20:E22" si="2">$B$19&amp;D20</f>
        <v>ah3</v>
      </c>
      <c r="F20" s="647"/>
      <c r="G20" s="647"/>
      <c r="H20" s="647" t="s">
        <v>835</v>
      </c>
      <c r="I20" s="647"/>
      <c r="J20" s="827" t="s">
        <v>837</v>
      </c>
      <c r="K20" s="860"/>
      <c r="L20" s="551">
        <v>1</v>
      </c>
      <c r="M20" s="538">
        <v>1</v>
      </c>
      <c r="N20" s="538">
        <v>0</v>
      </c>
      <c r="O20" s="538">
        <v>0</v>
      </c>
      <c r="P20" s="538">
        <v>0</v>
      </c>
      <c r="Q20" s="538">
        <v>0</v>
      </c>
      <c r="R20" s="538">
        <v>0</v>
      </c>
      <c r="S20" s="538">
        <v>0</v>
      </c>
      <c r="T20" s="552">
        <v>0</v>
      </c>
      <c r="V20" s="631"/>
      <c r="W20" s="632"/>
      <c r="X20" s="632"/>
      <c r="Y20" s="633"/>
      <c r="Z20" s="147"/>
      <c r="AA20" s="147"/>
      <c r="AB20" s="147"/>
      <c r="AC20" s="147"/>
      <c r="AR20"/>
      <c r="AS20"/>
      <c r="AT20"/>
    </row>
    <row r="21" spans="1:46">
      <c r="B21" s="548"/>
      <c r="C21" s="637" t="s">
        <v>194</v>
      </c>
      <c r="D21" s="638">
        <v>4</v>
      </c>
      <c r="E21" s="643" t="str">
        <f t="shared" si="2"/>
        <v>ah4</v>
      </c>
      <c r="F21" s="647"/>
      <c r="G21" s="647"/>
      <c r="H21" s="647" t="s">
        <v>835</v>
      </c>
      <c r="I21" s="647"/>
      <c r="J21" s="827" t="s">
        <v>838</v>
      </c>
      <c r="K21" s="860"/>
      <c r="L21" s="551">
        <v>1</v>
      </c>
      <c r="M21" s="538">
        <v>1</v>
      </c>
      <c r="N21" s="538">
        <v>0</v>
      </c>
      <c r="O21" s="538">
        <v>1</v>
      </c>
      <c r="P21" s="538">
        <v>0</v>
      </c>
      <c r="Q21" s="538">
        <v>0</v>
      </c>
      <c r="R21" s="538">
        <v>0</v>
      </c>
      <c r="S21" s="538">
        <v>0</v>
      </c>
      <c r="T21" s="552">
        <v>0</v>
      </c>
      <c r="V21" s="631"/>
      <c r="W21" s="632"/>
      <c r="X21" s="632"/>
      <c r="Y21" s="633"/>
      <c r="Z21" s="147"/>
      <c r="AA21" s="147"/>
      <c r="AB21" s="147"/>
      <c r="AC21" s="147"/>
      <c r="AR21"/>
      <c r="AS21"/>
      <c r="AT21"/>
    </row>
    <row r="22" spans="1:46">
      <c r="A22" s="147">
        <v>17</v>
      </c>
      <c r="B22" s="547"/>
      <c r="C22" s="637" t="s">
        <v>839</v>
      </c>
      <c r="D22" s="638">
        <v>5</v>
      </c>
      <c r="E22" s="643" t="str">
        <f t="shared" si="2"/>
        <v>ah5</v>
      </c>
      <c r="F22" s="647"/>
      <c r="G22" s="647"/>
      <c r="H22" s="647" t="s">
        <v>840</v>
      </c>
      <c r="I22" s="647"/>
      <c r="J22" s="827" t="s">
        <v>838</v>
      </c>
      <c r="K22" s="860"/>
      <c r="L22" s="551">
        <v>1</v>
      </c>
      <c r="M22" s="538">
        <v>1</v>
      </c>
      <c r="N22" s="538">
        <v>0</v>
      </c>
      <c r="O22" s="538">
        <v>0</v>
      </c>
      <c r="P22" s="538">
        <v>0</v>
      </c>
      <c r="Q22" s="538">
        <v>0</v>
      </c>
      <c r="R22" s="538">
        <v>0</v>
      </c>
      <c r="S22" s="538">
        <v>0</v>
      </c>
      <c r="T22" s="552">
        <v>0</v>
      </c>
      <c r="V22" s="631"/>
      <c r="W22" s="632"/>
      <c r="X22" s="632"/>
      <c r="Y22" s="633"/>
      <c r="Z22" s="147"/>
      <c r="AA22" s="147"/>
      <c r="AB22" s="147"/>
      <c r="AC22" s="147"/>
      <c r="AR22"/>
      <c r="AS22"/>
      <c r="AT22"/>
    </row>
    <row r="23" spans="1:46">
      <c r="A23" s="147">
        <v>18</v>
      </c>
      <c r="B23" s="547"/>
      <c r="C23" s="637" t="s">
        <v>331</v>
      </c>
      <c r="D23" s="638">
        <v>0</v>
      </c>
      <c r="E23" s="643" t="str">
        <f>$B$19&amp;D23</f>
        <v>ah0</v>
      </c>
      <c r="F23" s="647"/>
      <c r="G23" s="647"/>
      <c r="H23" s="647" t="s">
        <v>829</v>
      </c>
      <c r="I23" s="647"/>
      <c r="J23" s="827" t="s">
        <v>832</v>
      </c>
      <c r="K23" s="860"/>
      <c r="L23" s="551">
        <v>0</v>
      </c>
      <c r="M23" s="538">
        <v>0</v>
      </c>
      <c r="N23" s="538">
        <v>0</v>
      </c>
      <c r="O23" s="538">
        <v>0</v>
      </c>
      <c r="P23" s="538">
        <v>0</v>
      </c>
      <c r="Q23" s="538">
        <v>0</v>
      </c>
      <c r="R23" s="538">
        <v>0</v>
      </c>
      <c r="S23" s="538">
        <v>0</v>
      </c>
      <c r="T23" s="552">
        <v>0</v>
      </c>
      <c r="V23" s="631"/>
      <c r="W23" s="632"/>
      <c r="X23" s="632"/>
      <c r="Y23" s="633"/>
      <c r="Z23" s="147"/>
      <c r="AA23" s="147"/>
      <c r="AB23" s="147"/>
      <c r="AC23" s="147"/>
      <c r="AR23"/>
      <c r="AS23"/>
      <c r="AT23"/>
    </row>
    <row r="24" spans="1:46" ht="24.95" customHeight="1">
      <c r="A24" s="147">
        <v>19</v>
      </c>
      <c r="B24" s="549" t="s">
        <v>841</v>
      </c>
      <c r="C24" s="640" t="s">
        <v>331</v>
      </c>
      <c r="D24" s="645">
        <v>0</v>
      </c>
      <c r="E24" s="646" t="str">
        <f>$B$25&amp;D24</f>
        <v>bh0</v>
      </c>
      <c r="F24" s="650"/>
      <c r="G24" s="650"/>
      <c r="H24" s="650"/>
      <c r="I24" s="650"/>
      <c r="J24" s="828">
        <v>0</v>
      </c>
      <c r="K24" s="861"/>
      <c r="L24" s="553">
        <v>0</v>
      </c>
      <c r="M24" s="539">
        <v>0</v>
      </c>
      <c r="N24" s="539">
        <v>0</v>
      </c>
      <c r="O24" s="539">
        <v>0</v>
      </c>
      <c r="P24" s="539">
        <v>0</v>
      </c>
      <c r="Q24" s="539">
        <v>0</v>
      </c>
      <c r="R24" s="539">
        <v>0</v>
      </c>
      <c r="S24" s="539">
        <v>0</v>
      </c>
      <c r="T24" s="554">
        <v>0</v>
      </c>
      <c r="V24" s="631"/>
      <c r="W24" s="632"/>
      <c r="X24" s="632"/>
      <c r="Y24" s="633"/>
      <c r="Z24" s="147"/>
      <c r="AA24" s="147"/>
      <c r="AB24" s="147"/>
      <c r="AC24" s="147"/>
      <c r="AR24"/>
      <c r="AS24"/>
      <c r="AT24"/>
    </row>
    <row r="25" spans="1:46">
      <c r="A25" s="147">
        <v>20</v>
      </c>
      <c r="B25" s="550" t="s">
        <v>842</v>
      </c>
      <c r="C25" s="644" t="s">
        <v>180</v>
      </c>
      <c r="D25" s="645">
        <v>1</v>
      </c>
      <c r="E25" s="646" t="str">
        <f t="shared" ref="E25:E30" si="3">$B$25&amp;D25</f>
        <v>bh1</v>
      </c>
      <c r="F25" s="650"/>
      <c r="G25" s="650"/>
      <c r="H25" s="650"/>
      <c r="I25" s="650"/>
      <c r="J25" s="842">
        <f t="shared" ref="J25:J30" si="4">J7</f>
        <v>1.0933333333333333</v>
      </c>
      <c r="K25" s="862"/>
      <c r="L25" s="553">
        <v>1</v>
      </c>
      <c r="M25" s="539"/>
      <c r="N25" s="539">
        <v>0</v>
      </c>
      <c r="O25" s="539">
        <v>0</v>
      </c>
      <c r="P25" s="539">
        <v>0</v>
      </c>
      <c r="Q25" s="539">
        <v>1</v>
      </c>
      <c r="R25" s="539">
        <v>0</v>
      </c>
      <c r="S25" s="539">
        <v>1</v>
      </c>
      <c r="T25" s="554">
        <v>0</v>
      </c>
      <c r="V25" s="631"/>
      <c r="W25" s="632"/>
      <c r="X25" s="632"/>
      <c r="Y25" s="633"/>
      <c r="Z25" s="147"/>
      <c r="AA25" s="147"/>
      <c r="AB25" s="147"/>
      <c r="AC25" s="147"/>
      <c r="AR25"/>
      <c r="AS25"/>
      <c r="AT25"/>
    </row>
    <row r="26" spans="1:46">
      <c r="A26" s="147">
        <v>21</v>
      </c>
      <c r="B26" s="549"/>
      <c r="C26" s="640" t="s">
        <v>181</v>
      </c>
      <c r="D26" s="641">
        <v>2</v>
      </c>
      <c r="E26" s="646" t="str">
        <f t="shared" si="3"/>
        <v>bh2</v>
      </c>
      <c r="F26" s="650"/>
      <c r="G26" s="650"/>
      <c r="H26" s="650"/>
      <c r="I26" s="650"/>
      <c r="J26" s="842">
        <f t="shared" si="4"/>
        <v>1</v>
      </c>
      <c r="K26" s="862"/>
      <c r="L26" s="553">
        <v>1</v>
      </c>
      <c r="M26" s="539">
        <v>0</v>
      </c>
      <c r="N26" s="539">
        <v>0</v>
      </c>
      <c r="O26" s="539">
        <v>0</v>
      </c>
      <c r="P26" s="539">
        <v>0</v>
      </c>
      <c r="Q26" s="539">
        <v>1</v>
      </c>
      <c r="R26" s="539">
        <v>0</v>
      </c>
      <c r="S26" s="539">
        <v>1</v>
      </c>
      <c r="T26" s="554">
        <v>0</v>
      </c>
      <c r="V26" s="631"/>
      <c r="W26" s="632"/>
      <c r="X26" s="632"/>
      <c r="Y26" s="633"/>
      <c r="Z26" s="147"/>
      <c r="AA26" s="147"/>
      <c r="AB26" s="147"/>
      <c r="AC26" s="147"/>
      <c r="AR26"/>
      <c r="AS26"/>
      <c r="AT26"/>
    </row>
    <row r="27" spans="1:46">
      <c r="A27" s="147">
        <v>22</v>
      </c>
      <c r="B27" s="549"/>
      <c r="C27" s="640" t="s">
        <v>182</v>
      </c>
      <c r="D27" s="641">
        <v>3</v>
      </c>
      <c r="E27" s="646" t="str">
        <f t="shared" si="3"/>
        <v>bh3</v>
      </c>
      <c r="F27" s="650"/>
      <c r="G27" s="650"/>
      <c r="H27" s="650"/>
      <c r="I27" s="650"/>
      <c r="J27" s="842">
        <f t="shared" si="4"/>
        <v>0.89130434782608692</v>
      </c>
      <c r="K27" s="862"/>
      <c r="L27" s="553">
        <v>1</v>
      </c>
      <c r="M27" s="539">
        <v>0</v>
      </c>
      <c r="N27" s="539">
        <v>0</v>
      </c>
      <c r="O27" s="539">
        <v>0</v>
      </c>
      <c r="P27" s="539">
        <v>0</v>
      </c>
      <c r="Q27" s="539">
        <v>1</v>
      </c>
      <c r="R27" s="539">
        <v>0</v>
      </c>
      <c r="S27" s="539">
        <v>1</v>
      </c>
      <c r="T27" s="554">
        <v>0</v>
      </c>
      <c r="V27" s="631"/>
      <c r="W27" s="632"/>
      <c r="X27" s="632"/>
      <c r="Y27" s="633"/>
      <c r="Z27" s="147"/>
      <c r="AA27" s="147"/>
      <c r="AB27" s="147"/>
      <c r="AC27" s="147"/>
      <c r="AR27"/>
      <c r="AS27"/>
      <c r="AT27"/>
    </row>
    <row r="28" spans="1:46">
      <c r="A28" s="147">
        <v>23</v>
      </c>
      <c r="B28" s="549"/>
      <c r="C28" s="640" t="s">
        <v>183</v>
      </c>
      <c r="D28" s="641">
        <v>4</v>
      </c>
      <c r="E28" s="646" t="str">
        <f t="shared" si="3"/>
        <v>bh4</v>
      </c>
      <c r="F28" s="650"/>
      <c r="G28" s="650"/>
      <c r="H28" s="650"/>
      <c r="I28" s="650"/>
      <c r="J28" s="842">
        <f t="shared" si="4"/>
        <v>0.89130434782608692</v>
      </c>
      <c r="K28" s="862"/>
      <c r="L28" s="553">
        <v>1</v>
      </c>
      <c r="M28" s="539"/>
      <c r="N28" s="539">
        <v>0</v>
      </c>
      <c r="O28" s="539">
        <v>0</v>
      </c>
      <c r="P28" s="539">
        <v>0</v>
      </c>
      <c r="Q28" s="539">
        <v>0</v>
      </c>
      <c r="R28" s="539">
        <v>0</v>
      </c>
      <c r="S28" s="539">
        <v>0</v>
      </c>
      <c r="T28" s="554">
        <v>0</v>
      </c>
      <c r="V28" s="631"/>
      <c r="W28" s="632"/>
      <c r="X28" s="632"/>
      <c r="Y28" s="633"/>
      <c r="Z28" s="147"/>
      <c r="AA28" s="147"/>
      <c r="AB28" s="147"/>
      <c r="AC28" s="147"/>
      <c r="AR28"/>
      <c r="AS28"/>
      <c r="AT28"/>
    </row>
    <row r="29" spans="1:46">
      <c r="A29" s="147">
        <v>24</v>
      </c>
      <c r="B29" s="549"/>
      <c r="C29" s="640" t="s">
        <v>184</v>
      </c>
      <c r="D29" s="641">
        <v>5</v>
      </c>
      <c r="E29" s="646" t="str">
        <f t="shared" si="3"/>
        <v>bh5</v>
      </c>
      <c r="F29" s="650"/>
      <c r="G29" s="650"/>
      <c r="H29" s="650"/>
      <c r="I29" s="650"/>
      <c r="J29" s="842">
        <f t="shared" si="4"/>
        <v>0.82</v>
      </c>
      <c r="K29" s="862"/>
      <c r="L29" s="553">
        <v>0</v>
      </c>
      <c r="M29" s="539">
        <v>0</v>
      </c>
      <c r="N29" s="539">
        <v>0</v>
      </c>
      <c r="O29" s="539">
        <v>0</v>
      </c>
      <c r="P29" s="539">
        <v>0</v>
      </c>
      <c r="Q29" s="539">
        <v>0</v>
      </c>
      <c r="R29" s="539">
        <v>0</v>
      </c>
      <c r="S29" s="539">
        <v>0</v>
      </c>
      <c r="T29" s="554">
        <v>0</v>
      </c>
      <c r="V29" s="631"/>
      <c r="W29" s="632"/>
      <c r="X29" s="632"/>
      <c r="Y29" s="633"/>
      <c r="Z29" s="542" t="s">
        <v>843</v>
      </c>
      <c r="AA29" s="147"/>
      <c r="AB29" s="147"/>
      <c r="AC29" s="147"/>
      <c r="AR29"/>
      <c r="AS29"/>
      <c r="AT29"/>
    </row>
    <row r="30" spans="1:46">
      <c r="A30" s="147">
        <v>25</v>
      </c>
      <c r="B30" s="549"/>
      <c r="C30" s="640" t="s">
        <v>197</v>
      </c>
      <c r="D30" s="641">
        <v>6</v>
      </c>
      <c r="E30" s="646" t="str">
        <f t="shared" si="3"/>
        <v>bh6</v>
      </c>
      <c r="F30" s="650"/>
      <c r="G30" s="650"/>
      <c r="H30" s="650"/>
      <c r="I30" s="650"/>
      <c r="J30" s="842">
        <f t="shared" si="4"/>
        <v>0.82</v>
      </c>
      <c r="K30" s="862"/>
      <c r="L30" s="553">
        <v>0</v>
      </c>
      <c r="M30" s="539">
        <v>0</v>
      </c>
      <c r="N30" s="539">
        <v>0</v>
      </c>
      <c r="O30" s="539">
        <v>0</v>
      </c>
      <c r="P30" s="539">
        <v>0</v>
      </c>
      <c r="Q30" s="539">
        <v>0</v>
      </c>
      <c r="R30" s="539">
        <v>0</v>
      </c>
      <c r="S30" s="539">
        <v>0</v>
      </c>
      <c r="T30" s="554">
        <v>0</v>
      </c>
      <c r="V30" s="631"/>
      <c r="W30" s="632"/>
      <c r="X30" s="632"/>
      <c r="Y30" s="633"/>
      <c r="Z30" s="542" t="s">
        <v>843</v>
      </c>
      <c r="AA30" s="147"/>
      <c r="AB30" s="147"/>
      <c r="AC30" s="147"/>
      <c r="AR30"/>
      <c r="AS30"/>
      <c r="AT30"/>
    </row>
    <row r="31" spans="1:46">
      <c r="A31" s="147">
        <v>26</v>
      </c>
      <c r="B31" s="547" t="s">
        <v>844</v>
      </c>
      <c r="C31" s="637" t="s">
        <v>331</v>
      </c>
      <c r="D31" s="638">
        <v>0</v>
      </c>
      <c r="E31" s="639" t="str">
        <f t="shared" ref="E31:E41" si="5">$B$32&amp;D31</f>
        <v>tu0</v>
      </c>
      <c r="F31" s="648" t="s">
        <v>845</v>
      </c>
      <c r="G31" s="648"/>
      <c r="H31" s="648"/>
      <c r="I31" s="648" t="s">
        <v>833</v>
      </c>
      <c r="J31" s="827"/>
      <c r="K31" s="860"/>
      <c r="L31" s="551">
        <v>0</v>
      </c>
      <c r="M31" s="538">
        <v>0</v>
      </c>
      <c r="N31" s="538">
        <v>0</v>
      </c>
      <c r="O31" s="538">
        <v>0</v>
      </c>
      <c r="P31" s="538">
        <v>0</v>
      </c>
      <c r="Q31" s="538">
        <v>0</v>
      </c>
      <c r="R31" s="538">
        <v>0</v>
      </c>
      <c r="S31" s="538">
        <v>0</v>
      </c>
      <c r="T31" s="552">
        <v>0</v>
      </c>
      <c r="V31" s="631"/>
      <c r="W31" s="632"/>
      <c r="X31" s="632"/>
      <c r="Y31" s="633"/>
      <c r="Z31" s="147" t="s">
        <v>846</v>
      </c>
      <c r="AA31" s="147"/>
      <c r="AB31" s="147"/>
      <c r="AC31" s="147"/>
      <c r="AR31"/>
      <c r="AS31"/>
      <c r="AT31"/>
    </row>
    <row r="32" spans="1:46">
      <c r="A32" s="147">
        <v>27</v>
      </c>
      <c r="B32" s="548" t="s">
        <v>847</v>
      </c>
      <c r="C32" s="637" t="s">
        <v>199</v>
      </c>
      <c r="D32" s="638">
        <v>1</v>
      </c>
      <c r="E32" s="639" t="str">
        <f t="shared" si="5"/>
        <v>tu1</v>
      </c>
      <c r="F32" s="648" t="s">
        <v>848</v>
      </c>
      <c r="G32" s="648"/>
      <c r="H32" s="648"/>
      <c r="I32" s="648" t="s">
        <v>833</v>
      </c>
      <c r="J32" s="827"/>
      <c r="K32" s="860"/>
      <c r="L32" s="551">
        <v>0</v>
      </c>
      <c r="M32" s="538">
        <v>0</v>
      </c>
      <c r="N32" s="538">
        <v>0</v>
      </c>
      <c r="O32" s="538">
        <v>0</v>
      </c>
      <c r="P32" s="538">
        <v>0</v>
      </c>
      <c r="Q32" s="538">
        <v>0</v>
      </c>
      <c r="R32" s="538">
        <v>0</v>
      </c>
      <c r="S32" s="538">
        <v>0</v>
      </c>
      <c r="T32" s="552">
        <v>0</v>
      </c>
      <c r="V32" s="631"/>
      <c r="W32" s="632"/>
      <c r="X32" s="632"/>
      <c r="Y32" s="633"/>
      <c r="Z32" s="147"/>
      <c r="AA32" s="147"/>
      <c r="AB32" s="147"/>
      <c r="AC32" s="147"/>
      <c r="AR32"/>
      <c r="AS32"/>
      <c r="AT32"/>
    </row>
    <row r="33" spans="1:46">
      <c r="A33" s="147">
        <v>28</v>
      </c>
      <c r="B33" s="548"/>
      <c r="C33" s="637" t="s">
        <v>849</v>
      </c>
      <c r="D33" s="638">
        <v>2</v>
      </c>
      <c r="E33" s="639" t="str">
        <f t="shared" si="5"/>
        <v>tu2</v>
      </c>
      <c r="F33" s="648" t="s">
        <v>850</v>
      </c>
      <c r="G33" s="648"/>
      <c r="H33" s="648"/>
      <c r="I33" s="648" t="s">
        <v>833</v>
      </c>
      <c r="J33" s="827"/>
      <c r="K33" s="860"/>
      <c r="L33" s="551">
        <v>0</v>
      </c>
      <c r="M33" s="538">
        <v>0</v>
      </c>
      <c r="N33" s="538">
        <v>0</v>
      </c>
      <c r="O33" s="538">
        <v>0</v>
      </c>
      <c r="P33" s="538">
        <v>0</v>
      </c>
      <c r="Q33" s="538">
        <v>0</v>
      </c>
      <c r="R33" s="538">
        <v>0</v>
      </c>
      <c r="S33" s="538">
        <v>0</v>
      </c>
      <c r="T33" s="552">
        <v>0</v>
      </c>
      <c r="V33" s="631"/>
      <c r="W33" s="632"/>
      <c r="X33" s="632"/>
      <c r="Y33" s="633"/>
      <c r="Z33" s="147"/>
      <c r="AA33" s="147"/>
      <c r="AB33" s="147"/>
      <c r="AC33" s="147"/>
      <c r="AR33"/>
      <c r="AS33"/>
      <c r="AT33"/>
    </row>
    <row r="34" spans="1:46" ht="13.5" customHeight="1">
      <c r="A34" s="147">
        <v>29</v>
      </c>
      <c r="B34" s="547"/>
      <c r="C34" s="637" t="s">
        <v>201</v>
      </c>
      <c r="D34" s="638">
        <v>3</v>
      </c>
      <c r="E34" s="639" t="str">
        <f t="shared" si="5"/>
        <v>tu3</v>
      </c>
      <c r="F34" s="648" t="s">
        <v>850</v>
      </c>
      <c r="G34" s="648"/>
      <c r="H34" s="648"/>
      <c r="I34" s="648" t="s">
        <v>833</v>
      </c>
      <c r="J34" s="827"/>
      <c r="K34" s="860"/>
      <c r="L34" s="551">
        <v>0</v>
      </c>
      <c r="M34" s="538">
        <v>0</v>
      </c>
      <c r="N34" s="538">
        <v>0</v>
      </c>
      <c r="O34" s="538">
        <v>0</v>
      </c>
      <c r="P34" s="538">
        <v>0</v>
      </c>
      <c r="Q34" s="538">
        <v>0</v>
      </c>
      <c r="R34" s="538">
        <v>0</v>
      </c>
      <c r="S34" s="538">
        <v>0</v>
      </c>
      <c r="T34" s="552">
        <v>0</v>
      </c>
      <c r="V34" s="631"/>
      <c r="W34" s="632"/>
      <c r="X34" s="632"/>
      <c r="Y34" s="633"/>
      <c r="Z34" s="147"/>
      <c r="AA34" s="147"/>
      <c r="AB34" s="147"/>
      <c r="AC34" s="147"/>
      <c r="AR34"/>
      <c r="AS34"/>
      <c r="AT34"/>
    </row>
    <row r="35" spans="1:46">
      <c r="A35" s="147">
        <v>30</v>
      </c>
      <c r="B35" s="547"/>
      <c r="C35" s="637" t="s">
        <v>202</v>
      </c>
      <c r="D35" s="638">
        <v>4</v>
      </c>
      <c r="E35" s="639" t="str">
        <f t="shared" si="5"/>
        <v>tu4</v>
      </c>
      <c r="F35" s="648" t="s">
        <v>850</v>
      </c>
      <c r="G35" s="648"/>
      <c r="H35" s="648"/>
      <c r="I35" s="648" t="s">
        <v>833</v>
      </c>
      <c r="J35" s="827"/>
      <c r="K35" s="860"/>
      <c r="L35" s="551">
        <v>0</v>
      </c>
      <c r="M35" s="538">
        <v>0</v>
      </c>
      <c r="N35" s="538">
        <v>0</v>
      </c>
      <c r="O35" s="538">
        <v>0</v>
      </c>
      <c r="P35" s="538">
        <v>0</v>
      </c>
      <c r="Q35" s="538">
        <v>0</v>
      </c>
      <c r="R35" s="538">
        <v>0</v>
      </c>
      <c r="S35" s="538">
        <v>0</v>
      </c>
      <c r="T35" s="552">
        <v>0</v>
      </c>
      <c r="V35" s="631"/>
      <c r="W35" s="632"/>
      <c r="X35" s="632"/>
      <c r="Y35" s="633"/>
      <c r="Z35" s="147"/>
      <c r="AA35" s="147"/>
      <c r="AB35" s="147"/>
      <c r="AC35" s="147"/>
      <c r="AR35"/>
      <c r="AS35"/>
      <c r="AT35"/>
    </row>
    <row r="36" spans="1:46">
      <c r="A36" s="147">
        <v>31</v>
      </c>
      <c r="B36" s="547"/>
      <c r="C36" s="637" t="s">
        <v>203</v>
      </c>
      <c r="D36" s="638">
        <v>5</v>
      </c>
      <c r="E36" s="639" t="str">
        <f t="shared" si="5"/>
        <v>tu5</v>
      </c>
      <c r="F36" s="648" t="s">
        <v>850</v>
      </c>
      <c r="G36" s="648"/>
      <c r="H36" s="648"/>
      <c r="I36" s="648" t="s">
        <v>833</v>
      </c>
      <c r="J36" s="827"/>
      <c r="K36" s="860"/>
      <c r="L36" s="551">
        <v>0</v>
      </c>
      <c r="M36" s="538">
        <v>0</v>
      </c>
      <c r="N36" s="538">
        <v>0</v>
      </c>
      <c r="O36" s="538">
        <v>0</v>
      </c>
      <c r="P36" s="538">
        <v>0</v>
      </c>
      <c r="Q36" s="538">
        <v>0</v>
      </c>
      <c r="R36" s="538">
        <v>0</v>
      </c>
      <c r="S36" s="538">
        <v>0</v>
      </c>
      <c r="T36" s="552">
        <v>0</v>
      </c>
      <c r="V36" s="631"/>
      <c r="W36" s="632"/>
      <c r="X36" s="632"/>
      <c r="Y36" s="633"/>
      <c r="Z36" s="147"/>
      <c r="AA36" s="147"/>
      <c r="AB36" s="147"/>
      <c r="AC36" s="147"/>
      <c r="AR36"/>
      <c r="AS36"/>
      <c r="AT36"/>
    </row>
    <row r="37" spans="1:46">
      <c r="A37" s="147">
        <v>32</v>
      </c>
      <c r="B37" s="547"/>
      <c r="C37" s="637" t="s">
        <v>204</v>
      </c>
      <c r="D37" s="638">
        <v>6</v>
      </c>
      <c r="E37" s="639" t="str">
        <f t="shared" si="5"/>
        <v>tu6</v>
      </c>
      <c r="F37" s="648" t="s">
        <v>850</v>
      </c>
      <c r="G37" s="648"/>
      <c r="H37" s="648"/>
      <c r="I37" s="648" t="s">
        <v>833</v>
      </c>
      <c r="J37" s="827"/>
      <c r="K37" s="860"/>
      <c r="L37" s="551">
        <v>0</v>
      </c>
      <c r="M37" s="538">
        <v>0</v>
      </c>
      <c r="N37" s="538">
        <v>0</v>
      </c>
      <c r="O37" s="538">
        <v>0</v>
      </c>
      <c r="P37" s="538">
        <v>0</v>
      </c>
      <c r="Q37" s="538">
        <v>0</v>
      </c>
      <c r="R37" s="538">
        <v>0</v>
      </c>
      <c r="S37" s="538">
        <v>0</v>
      </c>
      <c r="T37" s="552">
        <v>0</v>
      </c>
      <c r="V37" s="631"/>
      <c r="W37" s="632"/>
      <c r="X37" s="632"/>
      <c r="Y37" s="633"/>
      <c r="Z37" s="147"/>
      <c r="AA37" s="147"/>
      <c r="AB37" s="147"/>
      <c r="AC37" s="147"/>
      <c r="AR37"/>
      <c r="AS37"/>
      <c r="AT37"/>
    </row>
    <row r="38" spans="1:46">
      <c r="B38" s="547"/>
      <c r="C38" s="637" t="s">
        <v>205</v>
      </c>
      <c r="D38" s="638">
        <v>7</v>
      </c>
      <c r="E38" s="639" t="str">
        <f t="shared" si="5"/>
        <v>tu7</v>
      </c>
      <c r="F38" s="648" t="s">
        <v>850</v>
      </c>
      <c r="G38" s="648"/>
      <c r="H38" s="648"/>
      <c r="I38" s="648" t="s">
        <v>833</v>
      </c>
      <c r="J38" s="827"/>
      <c r="K38" s="860"/>
      <c r="L38" s="551">
        <v>0</v>
      </c>
      <c r="M38" s="538">
        <v>0</v>
      </c>
      <c r="N38" s="538">
        <v>0</v>
      </c>
      <c r="O38" s="538">
        <v>0</v>
      </c>
      <c r="P38" s="538">
        <v>0</v>
      </c>
      <c r="Q38" s="538">
        <v>0</v>
      </c>
      <c r="R38" s="538">
        <v>0</v>
      </c>
      <c r="S38" s="538">
        <v>0</v>
      </c>
      <c r="T38" s="552">
        <v>0</v>
      </c>
      <c r="V38" s="631"/>
      <c r="W38" s="632"/>
      <c r="X38" s="632"/>
      <c r="Y38" s="633"/>
      <c r="Z38" s="147"/>
      <c r="AA38" s="147"/>
      <c r="AB38" s="147"/>
      <c r="AC38" s="147"/>
      <c r="AR38"/>
      <c r="AS38"/>
      <c r="AT38"/>
    </row>
    <row r="39" spans="1:46">
      <c r="B39" s="547"/>
      <c r="C39" s="637" t="s">
        <v>206</v>
      </c>
      <c r="D39" s="638">
        <v>8</v>
      </c>
      <c r="E39" s="639" t="str">
        <f t="shared" si="5"/>
        <v>tu8</v>
      </c>
      <c r="F39" s="648" t="s">
        <v>850</v>
      </c>
      <c r="G39" s="648"/>
      <c r="H39" s="648"/>
      <c r="I39" s="648" t="s">
        <v>833</v>
      </c>
      <c r="J39" s="827"/>
      <c r="K39" s="860"/>
      <c r="L39" s="551">
        <v>0</v>
      </c>
      <c r="M39" s="538">
        <v>0</v>
      </c>
      <c r="N39" s="538">
        <v>0</v>
      </c>
      <c r="O39" s="538">
        <v>0</v>
      </c>
      <c r="P39" s="538">
        <v>0</v>
      </c>
      <c r="Q39" s="538">
        <v>0</v>
      </c>
      <c r="R39" s="538">
        <v>0</v>
      </c>
      <c r="S39" s="538">
        <v>0</v>
      </c>
      <c r="T39" s="552">
        <v>0</v>
      </c>
      <c r="V39" s="631"/>
      <c r="W39" s="632"/>
      <c r="X39" s="632"/>
      <c r="Y39" s="633"/>
      <c r="Z39" s="147"/>
      <c r="AA39" s="147"/>
      <c r="AB39" s="147"/>
      <c r="AC39" s="147"/>
      <c r="AR39"/>
      <c r="AS39"/>
      <c r="AT39"/>
    </row>
    <row r="40" spans="1:46">
      <c r="B40" s="547"/>
      <c r="C40" s="637" t="s">
        <v>207</v>
      </c>
      <c r="D40" s="638">
        <v>9</v>
      </c>
      <c r="E40" s="639" t="str">
        <f t="shared" si="5"/>
        <v>tu9</v>
      </c>
      <c r="F40" s="648" t="s">
        <v>851</v>
      </c>
      <c r="G40" s="648"/>
      <c r="H40" s="648"/>
      <c r="I40" s="648" t="s">
        <v>852</v>
      </c>
      <c r="J40" s="827"/>
      <c r="K40" s="860"/>
      <c r="L40" s="551">
        <v>0</v>
      </c>
      <c r="M40" s="538">
        <v>0</v>
      </c>
      <c r="N40" s="538">
        <v>0</v>
      </c>
      <c r="O40" s="538">
        <v>0</v>
      </c>
      <c r="P40" s="538">
        <v>0</v>
      </c>
      <c r="Q40" s="538">
        <v>0</v>
      </c>
      <c r="R40" s="538">
        <v>0</v>
      </c>
      <c r="S40" s="538">
        <v>0</v>
      </c>
      <c r="T40" s="552">
        <v>0</v>
      </c>
      <c r="V40" s="631"/>
      <c r="W40" s="632"/>
      <c r="X40" s="632"/>
      <c r="Y40" s="633"/>
      <c r="Z40" s="147"/>
      <c r="AA40" s="147"/>
      <c r="AB40" s="147"/>
      <c r="AC40" s="147"/>
      <c r="AR40"/>
      <c r="AS40"/>
      <c r="AT40"/>
    </row>
    <row r="41" spans="1:46" ht="15" thickBot="1">
      <c r="A41" s="147">
        <v>33</v>
      </c>
      <c r="B41" s="830"/>
      <c r="C41" s="1013" t="s">
        <v>208</v>
      </c>
      <c r="D41" s="831">
        <v>10</v>
      </c>
      <c r="E41" s="832" t="str">
        <f t="shared" si="5"/>
        <v>tu10</v>
      </c>
      <c r="F41" s="833" t="s">
        <v>853</v>
      </c>
      <c r="G41" s="833"/>
      <c r="H41" s="833"/>
      <c r="I41" s="833" t="s">
        <v>833</v>
      </c>
      <c r="J41" s="829"/>
      <c r="K41" s="863"/>
      <c r="L41" s="834">
        <v>0</v>
      </c>
      <c r="M41" s="835">
        <v>0</v>
      </c>
      <c r="N41" s="835">
        <v>0</v>
      </c>
      <c r="O41" s="835">
        <v>0</v>
      </c>
      <c r="P41" s="835">
        <v>0</v>
      </c>
      <c r="Q41" s="835">
        <v>0</v>
      </c>
      <c r="R41" s="835">
        <v>0</v>
      </c>
      <c r="S41" s="835">
        <v>0</v>
      </c>
      <c r="T41" s="836">
        <v>0</v>
      </c>
      <c r="V41" s="631"/>
      <c r="W41" s="632"/>
      <c r="X41" s="632"/>
      <c r="Y41" s="633"/>
      <c r="Z41" s="147"/>
      <c r="AA41" s="147"/>
      <c r="AB41" s="147"/>
      <c r="AC41" s="147"/>
      <c r="AR41"/>
      <c r="AS41"/>
      <c r="AT41"/>
    </row>
    <row r="42" spans="1:46" s="147" customFormat="1" ht="33.950000000000003" customHeight="1">
      <c r="B42" s="543"/>
      <c r="C42" s="544"/>
      <c r="D42" s="544"/>
      <c r="E42" s="544"/>
      <c r="F42" s="544"/>
      <c r="G42" s="544"/>
      <c r="H42" s="544"/>
      <c r="I42" s="544"/>
      <c r="J42" s="544"/>
      <c r="K42" s="544"/>
      <c r="L42" s="544"/>
      <c r="M42" s="545"/>
      <c r="N42" s="545"/>
      <c r="O42" s="546"/>
      <c r="P42" s="546"/>
      <c r="Q42" s="546"/>
      <c r="R42" s="546"/>
      <c r="S42" s="546"/>
      <c r="T42" s="546"/>
      <c r="U42" s="546"/>
      <c r="V42" s="546"/>
      <c r="W42" s="546"/>
      <c r="X42" s="546"/>
      <c r="Y42" s="546"/>
      <c r="Z42" s="546"/>
      <c r="AA42" s="546"/>
      <c r="AB42" s="546"/>
    </row>
    <row r="43" spans="1:46" s="147" customFormat="1" ht="26.1">
      <c r="A43" s="150" t="s">
        <v>854</v>
      </c>
    </row>
    <row r="44" spans="1:46">
      <c r="A44"/>
      <c r="B44" s="687"/>
      <c r="C44" s="841"/>
      <c r="D44" s="837" t="s">
        <v>855</v>
      </c>
      <c r="E44" s="838"/>
      <c r="F44" s="838"/>
      <c r="G44" s="838"/>
      <c r="H44" s="839"/>
      <c r="I44" s="821" t="s">
        <v>856</v>
      </c>
      <c r="J44" s="822"/>
      <c r="K44" s="823"/>
      <c r="L44" s="147"/>
      <c r="M44" s="147"/>
      <c r="N44" s="147"/>
      <c r="O44" s="147"/>
      <c r="P44" s="147"/>
      <c r="Q44" s="147"/>
      <c r="R44" s="147"/>
      <c r="S44" s="147"/>
      <c r="T44" s="147"/>
      <c r="U44" s="147"/>
      <c r="V44" s="147"/>
      <c r="W44" s="147"/>
      <c r="X44" s="147"/>
      <c r="Y44" s="147"/>
      <c r="Z44" s="147"/>
      <c r="AA44" s="147"/>
      <c r="AB44" s="147"/>
      <c r="AC44" s="147"/>
      <c r="AO44"/>
      <c r="AP44"/>
      <c r="AQ44"/>
      <c r="AR44"/>
      <c r="AS44"/>
      <c r="AT44"/>
    </row>
    <row r="45" spans="1:46" s="147" customFormat="1" ht="29.1">
      <c r="B45" s="688" t="s">
        <v>857</v>
      </c>
      <c r="C45" s="811"/>
      <c r="D45" s="716" t="s">
        <v>858</v>
      </c>
      <c r="E45" s="717" t="s">
        <v>189</v>
      </c>
      <c r="F45" s="718"/>
      <c r="G45" s="717"/>
      <c r="H45" s="719" t="s">
        <v>859</v>
      </c>
      <c r="I45" s="740"/>
      <c r="J45" s="740"/>
      <c r="K45" s="848"/>
      <c r="N45" s="147" t="s">
        <v>860</v>
      </c>
    </row>
    <row r="46" spans="1:46" s="147" customFormat="1">
      <c r="B46" s="690" t="s">
        <v>834</v>
      </c>
      <c r="C46" s="812"/>
      <c r="D46" s="720"/>
      <c r="E46" s="318"/>
      <c r="F46" s="721" t="s">
        <v>191</v>
      </c>
      <c r="G46" s="318" t="s">
        <v>861</v>
      </c>
      <c r="H46" s="722"/>
      <c r="I46" s="741"/>
      <c r="J46" s="741"/>
      <c r="K46" s="849"/>
      <c r="N46" s="508" t="s">
        <v>862</v>
      </c>
      <c r="S46" s="147" t="s">
        <v>863</v>
      </c>
    </row>
    <row r="47" spans="1:46" s="147" customFormat="1">
      <c r="A47" s="147">
        <v>1</v>
      </c>
      <c r="B47" s="691" t="s">
        <v>864</v>
      </c>
      <c r="C47" s="813" t="s">
        <v>832</v>
      </c>
      <c r="D47" s="723" t="s">
        <v>865</v>
      </c>
      <c r="E47" s="724" t="s">
        <v>866</v>
      </c>
      <c r="F47" s="724" t="s">
        <v>837</v>
      </c>
      <c r="G47" s="724" t="s">
        <v>838</v>
      </c>
      <c r="H47" s="725"/>
      <c r="I47" s="742">
        <v>0</v>
      </c>
      <c r="J47" s="742" t="s">
        <v>867</v>
      </c>
      <c r="K47" s="742" t="s">
        <v>868</v>
      </c>
      <c r="N47" s="507" t="s">
        <v>869</v>
      </c>
      <c r="T47" s="147" t="s">
        <v>870</v>
      </c>
    </row>
    <row r="48" spans="1:46" s="147" customFormat="1" ht="29.1">
      <c r="A48" s="147">
        <v>2</v>
      </c>
      <c r="B48" s="688" t="s">
        <v>342</v>
      </c>
      <c r="C48" s="814">
        <v>0</v>
      </c>
      <c r="D48" s="701"/>
      <c r="E48" s="702"/>
      <c r="F48" s="703">
        <f>Schedule!$B$48</f>
        <v>0.93894822189729577</v>
      </c>
      <c r="G48" s="703">
        <f>Schedule!$B$49</f>
        <v>0.15604713674886667</v>
      </c>
      <c r="H48" s="704">
        <f>Schedule!$B$52</f>
        <v>18.997240472393607</v>
      </c>
      <c r="I48" s="732">
        <v>0</v>
      </c>
      <c r="J48" s="733">
        <f>1/Assumptions!$D$88</f>
        <v>0.7142857142857143</v>
      </c>
      <c r="K48" s="850">
        <v>1</v>
      </c>
      <c r="N48" s="746" t="s">
        <v>871</v>
      </c>
      <c r="T48" s="462" t="s">
        <v>872</v>
      </c>
    </row>
    <row r="49" spans="1:46" s="147" customFormat="1">
      <c r="A49" s="147">
        <v>3</v>
      </c>
      <c r="B49" s="690" t="s">
        <v>345</v>
      </c>
      <c r="C49" s="815">
        <v>0</v>
      </c>
      <c r="D49" s="705"/>
      <c r="E49" s="706"/>
      <c r="F49" s="707">
        <f>'Opt StartStop'!$B$32</f>
        <v>3.9153062718501573E-2</v>
      </c>
      <c r="G49" s="707">
        <f>'Opt StartStop'!$B$32</f>
        <v>3.9153062718501573E-2</v>
      </c>
      <c r="H49" s="708">
        <f>'Opt StartStop'!$B$30</f>
        <v>2.0151219512195122</v>
      </c>
      <c r="I49" s="734">
        <v>0</v>
      </c>
      <c r="J49" s="735">
        <f>1/Assumptions!$D$88</f>
        <v>0.7142857142857143</v>
      </c>
      <c r="K49" s="851">
        <v>1</v>
      </c>
      <c r="N49" s="696" t="s">
        <v>873</v>
      </c>
      <c r="T49" s="462" t="s">
        <v>874</v>
      </c>
    </row>
    <row r="50" spans="1:46" s="147" customFormat="1" ht="29.1">
      <c r="A50" s="147">
        <v>4</v>
      </c>
      <c r="B50" s="690" t="s">
        <v>160</v>
      </c>
      <c r="C50" s="816">
        <v>0</v>
      </c>
      <c r="D50" s="709"/>
      <c r="E50" s="707">
        <f>'CHW Reset'!$B$18</f>
        <v>2.9677489830275686E-2</v>
      </c>
      <c r="F50" s="707"/>
      <c r="G50" s="707"/>
      <c r="H50" s="710"/>
      <c r="I50" s="736">
        <f>Assumptions!$D$88</f>
        <v>1.4</v>
      </c>
      <c r="J50" s="737">
        <f>Assumptions!$D$88</f>
        <v>1.4</v>
      </c>
      <c r="K50" s="852">
        <v>1</v>
      </c>
      <c r="T50" s="462" t="s">
        <v>875</v>
      </c>
    </row>
    <row r="51" spans="1:46" s="147" customFormat="1">
      <c r="A51" s="147">
        <v>5</v>
      </c>
      <c r="B51" s="690" t="s">
        <v>175</v>
      </c>
      <c r="C51" s="815">
        <v>0</v>
      </c>
      <c r="D51" s="705"/>
      <c r="E51" s="706"/>
      <c r="F51" s="707"/>
      <c r="G51" s="707">
        <f>'Static Pressure Reset'!$B$24</f>
        <v>4.693549180994791E-2</v>
      </c>
      <c r="H51" s="710"/>
      <c r="I51" s="734">
        <f>Assumptions!$D$88</f>
        <v>1.4</v>
      </c>
      <c r="J51" s="735">
        <f>Assumptions!$D$88</f>
        <v>1.4</v>
      </c>
      <c r="K51" s="852">
        <v>1</v>
      </c>
    </row>
    <row r="52" spans="1:46" s="147" customFormat="1" ht="29.1">
      <c r="A52" s="147">
        <v>6</v>
      </c>
      <c r="B52" s="690" t="s">
        <v>151</v>
      </c>
      <c r="C52" s="816">
        <v>0</v>
      </c>
      <c r="D52" s="709"/>
      <c r="E52" s="707"/>
      <c r="F52" s="707"/>
      <c r="G52" s="707"/>
      <c r="H52" s="708">
        <f>'HW Reset'!$B$22</f>
        <v>0.73329324697342868</v>
      </c>
      <c r="I52" s="736">
        <f>Assumptions!$D$88</f>
        <v>1.4</v>
      </c>
      <c r="J52" s="737">
        <f>Assumptions!$D$88</f>
        <v>1.4</v>
      </c>
      <c r="K52" s="851">
        <v>1</v>
      </c>
    </row>
    <row r="53" spans="1:46" s="147" customFormat="1">
      <c r="A53" s="147">
        <v>7</v>
      </c>
      <c r="B53" s="690" t="s">
        <v>349</v>
      </c>
      <c r="C53" s="816">
        <v>0</v>
      </c>
      <c r="D53" s="709">
        <f>DCV!$B$34</f>
        <v>4.9050197528486134E-2</v>
      </c>
      <c r="E53" s="707">
        <f>DCV!$B$34</f>
        <v>4.9050197528486134E-2</v>
      </c>
      <c r="F53" s="707"/>
      <c r="G53" s="707"/>
      <c r="H53" s="708">
        <f>DCV!$B$35</f>
        <v>0.80326317073170839</v>
      </c>
      <c r="I53" s="736">
        <f>Assumptions!$D$88</f>
        <v>1.4</v>
      </c>
      <c r="J53" s="737">
        <f>Assumptions!$D$88</f>
        <v>1.4</v>
      </c>
      <c r="K53" s="851">
        <v>1</v>
      </c>
    </row>
    <row r="54" spans="1:46" s="147" customFormat="1" ht="29.1">
      <c r="A54" s="147">
        <v>8</v>
      </c>
      <c r="B54" s="690" t="s">
        <v>177</v>
      </c>
      <c r="C54" s="816">
        <v>0</v>
      </c>
      <c r="D54" s="709">
        <f>Economizer!$B$20</f>
        <v>0.16170215118557596</v>
      </c>
      <c r="E54" s="707">
        <f>Economizer!$B$20</f>
        <v>0.16170215118557596</v>
      </c>
      <c r="F54" s="707"/>
      <c r="G54" s="707"/>
      <c r="H54" s="708"/>
      <c r="I54" s="736">
        <f>Assumptions!$D$88</f>
        <v>1.4</v>
      </c>
      <c r="J54" s="737">
        <f>Assumptions!$D$88</f>
        <v>1.4</v>
      </c>
      <c r="K54" s="851">
        <v>1</v>
      </c>
    </row>
    <row r="55" spans="1:46" s="147" customFormat="1" ht="29.1">
      <c r="A55" s="147">
        <v>9</v>
      </c>
      <c r="B55" s="690" t="s">
        <v>352</v>
      </c>
      <c r="C55" s="817">
        <v>0</v>
      </c>
      <c r="D55" s="711">
        <f>'DAT reset'!$B$41</f>
        <v>3.9762222222222221E-4</v>
      </c>
      <c r="E55" s="712">
        <f>'DAT reset'!$B$41</f>
        <v>3.9762222222222221E-4</v>
      </c>
      <c r="F55" s="707"/>
      <c r="G55" s="707"/>
      <c r="H55" s="708">
        <f>'DAT reset'!$B$42</f>
        <v>0.29599999999999999</v>
      </c>
      <c r="I55" s="736">
        <f>Assumptions!$D$88</f>
        <v>1.4</v>
      </c>
      <c r="J55" s="737">
        <f>Assumptions!$D$88</f>
        <v>1.4</v>
      </c>
      <c r="K55" s="851">
        <v>1</v>
      </c>
    </row>
    <row r="56" spans="1:46" s="147" customFormat="1" ht="29.1">
      <c r="A56" s="147">
        <v>10</v>
      </c>
      <c r="B56" s="691" t="s">
        <v>162</v>
      </c>
      <c r="C56" s="818">
        <v>0</v>
      </c>
      <c r="D56" s="713"/>
      <c r="E56" s="714">
        <f>'CW Reset'!$B$24</f>
        <v>0.10222222222222223</v>
      </c>
      <c r="F56" s="714"/>
      <c r="G56" s="714"/>
      <c r="H56" s="715"/>
      <c r="I56" s="738">
        <f>Assumptions!$D$88</f>
        <v>1.4</v>
      </c>
      <c r="J56" s="739">
        <f>Assumptions!$D$88</f>
        <v>1.4</v>
      </c>
      <c r="K56" s="853">
        <v>1</v>
      </c>
    </row>
    <row r="57" spans="1:46" s="147" customFormat="1">
      <c r="A57" s="147">
        <v>11</v>
      </c>
      <c r="B57" s="692" t="s">
        <v>364</v>
      </c>
      <c r="C57" s="819">
        <v>0</v>
      </c>
      <c r="D57" s="726">
        <f>SUM(D48:D56)</f>
        <v>0.21114997093628432</v>
      </c>
      <c r="E57" s="727">
        <f>SUM(E48:E56)</f>
        <v>0.34304968298878225</v>
      </c>
      <c r="F57" s="727">
        <f>SUM(F48:F56)</f>
        <v>0.97810128461579737</v>
      </c>
      <c r="G57" s="727">
        <f>SUM(G48:G56)</f>
        <v>0.24213569127731616</v>
      </c>
      <c r="H57" s="728">
        <f>SUM(H48:H56)</f>
        <v>22.844918841318254</v>
      </c>
      <c r="I57" s="743"/>
      <c r="J57" s="743"/>
      <c r="K57" s="854"/>
    </row>
    <row r="58" spans="1:46">
      <c r="A58"/>
      <c r="B58" s="691" t="s">
        <v>261</v>
      </c>
      <c r="C58" s="820"/>
      <c r="D58" s="729" t="s">
        <v>876</v>
      </c>
      <c r="E58" s="730" t="s">
        <v>876</v>
      </c>
      <c r="F58" s="730" t="s">
        <v>876</v>
      </c>
      <c r="G58" s="730" t="s">
        <v>876</v>
      </c>
      <c r="H58" s="731" t="s">
        <v>264</v>
      </c>
      <c r="I58" s="744"/>
      <c r="J58" s="744"/>
      <c r="K58" s="855"/>
      <c r="L58" s="147"/>
      <c r="M58" s="147"/>
      <c r="N58"/>
      <c r="P58" s="147"/>
      <c r="Q58" s="147"/>
      <c r="R58" s="147"/>
      <c r="S58" s="147"/>
      <c r="T58" s="147"/>
      <c r="U58" s="147"/>
      <c r="V58" s="147"/>
      <c r="W58" s="147"/>
      <c r="X58" s="147"/>
      <c r="Y58" s="147"/>
      <c r="Z58" s="147"/>
      <c r="AA58" s="147"/>
      <c r="AB58" s="147"/>
      <c r="AC58" s="147"/>
      <c r="AO58"/>
      <c r="AP58"/>
      <c r="AQ58"/>
      <c r="AR58"/>
      <c r="AS58"/>
      <c r="AT58"/>
    </row>
    <row r="59" spans="1:46" s="147" customFormat="1" ht="59.1" customHeight="1">
      <c r="B59" s="693" t="s">
        <v>240</v>
      </c>
      <c r="C59" s="840"/>
      <c r="D59" s="1809" t="s">
        <v>877</v>
      </c>
      <c r="E59" s="1810"/>
      <c r="F59" s="1810"/>
      <c r="G59" s="1810"/>
      <c r="H59" s="1811"/>
      <c r="I59" s="745"/>
      <c r="J59" s="745"/>
      <c r="K59" s="856"/>
    </row>
    <row r="60" spans="1:46" s="147" customFormat="1"/>
    <row r="61" spans="1:46" s="147" customFormat="1" ht="26.1">
      <c r="A61" s="150" t="s">
        <v>878</v>
      </c>
    </row>
    <row r="62" spans="1:46" s="147" customFormat="1"/>
    <row r="63" spans="1:46" s="147" customFormat="1">
      <c r="D63" s="147" t="s">
        <v>879</v>
      </c>
    </row>
    <row r="64" spans="1:46" s="147" customFormat="1">
      <c r="D64" s="151"/>
      <c r="E64" s="151" t="s">
        <v>880</v>
      </c>
      <c r="F64" s="151" t="s">
        <v>881</v>
      </c>
    </row>
    <row r="65" spans="1:28" s="147" customFormat="1">
      <c r="D65" s="151" t="s">
        <v>882</v>
      </c>
      <c r="E65" s="686">
        <f>F57/(F57+D57)</f>
        <v>0.82245133654430069</v>
      </c>
      <c r="F65" s="686">
        <f>G57/(G57+D57)</f>
        <v>0.53417902100599701</v>
      </c>
      <c r="I65" s="540"/>
      <c r="J65" s="540"/>
      <c r="K65" s="540"/>
    </row>
    <row r="66" spans="1:28" s="147" customFormat="1">
      <c r="D66" s="151" t="s">
        <v>189</v>
      </c>
      <c r="E66" s="686">
        <f>F57/(SUM(E57,F57))</f>
        <v>0.74034028555360598</v>
      </c>
      <c r="F66" s="686">
        <f>G57/(G57+E57)</f>
        <v>0.41377604760027892</v>
      </c>
      <c r="I66" s="540"/>
      <c r="J66" s="540"/>
      <c r="K66" s="540"/>
    </row>
    <row r="67" spans="1:28" s="147" customFormat="1">
      <c r="D67" s="147" t="s">
        <v>883</v>
      </c>
      <c r="E67" s="323">
        <f>AVERAGE(E65:E66)</f>
        <v>0.78139581104895339</v>
      </c>
      <c r="F67" s="323">
        <f>AVERAGE(F65:F66)</f>
        <v>0.47397753430313794</v>
      </c>
      <c r="G67" s="847">
        <f>AVERAGE(E65:F66)</f>
        <v>0.62768667267604561</v>
      </c>
      <c r="H67" s="147" t="s">
        <v>884</v>
      </c>
      <c r="I67" s="540"/>
      <c r="J67" s="540"/>
      <c r="K67" s="540"/>
    </row>
    <row r="68" spans="1:28" s="147" customFormat="1">
      <c r="I68" s="540"/>
      <c r="J68" s="540"/>
      <c r="K68" s="540"/>
    </row>
    <row r="69" spans="1:28" s="147" customFormat="1">
      <c r="D69" s="147" t="s">
        <v>885</v>
      </c>
      <c r="I69" s="540"/>
      <c r="J69" s="540"/>
      <c r="K69" s="540"/>
    </row>
    <row r="70" spans="1:28" s="147" customFormat="1">
      <c r="D70" s="151"/>
      <c r="E70" s="151" t="s">
        <v>880</v>
      </c>
      <c r="F70" s="151" t="s">
        <v>881</v>
      </c>
      <c r="G70" s="147" t="s">
        <v>883</v>
      </c>
      <c r="I70" s="540"/>
      <c r="J70" s="540"/>
      <c r="K70" s="540"/>
    </row>
    <row r="71" spans="1:28" s="147" customFormat="1">
      <c r="D71" s="151" t="s">
        <v>882</v>
      </c>
      <c r="E71" s="686">
        <f>1-E65</f>
        <v>0.17754866345569931</v>
      </c>
      <c r="F71" s="686">
        <f>1-F65</f>
        <v>0.46582097899400299</v>
      </c>
      <c r="G71" s="846">
        <f>AVERAGE(E71:F71)</f>
        <v>0.32168482122485115</v>
      </c>
      <c r="I71" s="540"/>
      <c r="J71" s="540"/>
      <c r="K71" s="540"/>
    </row>
    <row r="72" spans="1:28" s="147" customFormat="1">
      <c r="D72" s="151" t="s">
        <v>189</v>
      </c>
      <c r="E72" s="686">
        <f>1-E66</f>
        <v>0.25965971444639402</v>
      </c>
      <c r="F72" s="686">
        <f>1-F66</f>
        <v>0.58622395239972103</v>
      </c>
      <c r="G72" s="846">
        <f>AVERAGE(E72:F72)</f>
        <v>0.42294183342305752</v>
      </c>
      <c r="I72" s="540"/>
      <c r="J72" s="540"/>
      <c r="K72" s="540"/>
    </row>
    <row r="73" spans="1:28" s="147" customFormat="1">
      <c r="E73" s="323"/>
      <c r="F73" s="323"/>
      <c r="G73" s="847">
        <f>AVERAGE(E71:F72)</f>
        <v>0.37231332732395434</v>
      </c>
      <c r="H73" s="147" t="s">
        <v>886</v>
      </c>
      <c r="I73" s="540"/>
      <c r="J73" s="540"/>
      <c r="K73" s="540"/>
    </row>
    <row r="74" spans="1:28" s="147" customFormat="1">
      <c r="I74" s="540"/>
      <c r="J74" s="540"/>
      <c r="K74" s="540"/>
    </row>
    <row r="75" spans="1:28" s="147" customFormat="1" ht="26.1">
      <c r="A75" s="150" t="s">
        <v>887</v>
      </c>
      <c r="B75" s="543"/>
      <c r="C75" s="544"/>
      <c r="D75" s="544"/>
      <c r="E75" s="544"/>
      <c r="F75" s="544"/>
      <c r="G75" s="544"/>
      <c r="H75" s="544"/>
      <c r="I75" s="544"/>
      <c r="J75" s="544"/>
      <c r="K75" s="544"/>
      <c r="L75" s="544"/>
      <c r="M75" s="545"/>
      <c r="N75" s="545"/>
      <c r="O75" s="546"/>
      <c r="P75" s="546"/>
      <c r="Q75" s="546"/>
      <c r="R75" s="546"/>
      <c r="S75" s="546"/>
      <c r="T75" s="546"/>
      <c r="U75" s="546"/>
      <c r="V75" s="546"/>
      <c r="W75" s="546"/>
      <c r="X75" s="546"/>
      <c r="Y75" s="546"/>
      <c r="Z75" s="546"/>
      <c r="AA75" s="546"/>
      <c r="AB75" s="546"/>
    </row>
    <row r="76" spans="1:28" s="147" customFormat="1">
      <c r="B76" s="147" t="s">
        <v>888</v>
      </c>
      <c r="P76" s="546"/>
      <c r="Q76" s="546"/>
      <c r="R76" s="546"/>
      <c r="S76" s="546"/>
      <c r="T76" s="546"/>
      <c r="U76" s="546"/>
      <c r="V76" s="546"/>
      <c r="W76" s="546"/>
      <c r="X76" s="546"/>
      <c r="Y76" s="546"/>
      <c r="Z76" s="546"/>
      <c r="AA76" s="546"/>
      <c r="AB76" s="546"/>
    </row>
    <row r="77" spans="1:28" s="147" customFormat="1" ht="29.45" customHeight="1">
      <c r="B77" s="697" t="s">
        <v>268</v>
      </c>
      <c r="C77" s="698" t="s">
        <v>543</v>
      </c>
      <c r="D77" s="685" t="s">
        <v>581</v>
      </c>
      <c r="E77" s="685" t="s">
        <v>889</v>
      </c>
      <c r="F77" s="685" t="s">
        <v>890</v>
      </c>
      <c r="G77" s="685" t="s">
        <v>891</v>
      </c>
      <c r="H77" s="685" t="s">
        <v>892</v>
      </c>
      <c r="I77" s="322" t="s">
        <v>547</v>
      </c>
    </row>
    <row r="78" spans="1:28" s="147" customFormat="1" ht="29.45" customHeight="1">
      <c r="B78" s="697" t="s">
        <v>814</v>
      </c>
      <c r="C78" s="698"/>
      <c r="D78" s="685"/>
      <c r="E78" s="685">
        <v>1</v>
      </c>
      <c r="F78" s="685">
        <v>2</v>
      </c>
      <c r="G78" s="685">
        <v>3</v>
      </c>
      <c r="H78" s="685">
        <v>4</v>
      </c>
      <c r="I78" s="322"/>
    </row>
    <row r="79" spans="1:28" s="147" customFormat="1">
      <c r="B79" s="699" t="s">
        <v>270</v>
      </c>
      <c r="C79" s="700">
        <v>0</v>
      </c>
      <c r="D79" s="694">
        <v>0</v>
      </c>
      <c r="E79" s="694">
        <v>0</v>
      </c>
      <c r="F79" s="694">
        <v>0</v>
      </c>
      <c r="G79" s="694"/>
      <c r="H79" s="694"/>
    </row>
    <row r="80" spans="1:28" s="147" customFormat="1">
      <c r="B80" s="700" t="s">
        <v>366</v>
      </c>
      <c r="C80" s="700">
        <v>1</v>
      </c>
      <c r="D80" s="770">
        <f>Assumptions!$D$93</f>
        <v>7.0635988996622823E-2</v>
      </c>
      <c r="E80" s="770">
        <f>Assumptions!$D$92</f>
        <v>0.11760378318832776</v>
      </c>
      <c r="F80" s="770">
        <f>E80+Assumptions!$D$95</f>
        <v>0.12760378318832777</v>
      </c>
      <c r="G80" s="770">
        <f>AVERAGE(E80:F80)*G67</f>
        <v>7.6956760726976756E-2</v>
      </c>
      <c r="H80" s="770">
        <f>AVERAGE(E80:F80)*G73</f>
        <v>4.5647022461351001E-2</v>
      </c>
    </row>
    <row r="81" spans="2:46" s="147" customFormat="1">
      <c r="B81" s="700" t="s">
        <v>325</v>
      </c>
      <c r="C81" s="700">
        <v>2</v>
      </c>
      <c r="D81" s="770">
        <f>Assumptions!$D$93</f>
        <v>7.0635988996622823E-2</v>
      </c>
      <c r="E81" s="770">
        <f>Assumptions!$D$92</f>
        <v>0.11760378318832776</v>
      </c>
      <c r="F81" s="770">
        <f>E81+Assumptions!$D$95</f>
        <v>0.12760378318832777</v>
      </c>
      <c r="G81" s="770">
        <f>G80</f>
        <v>7.6956760726976756E-2</v>
      </c>
      <c r="H81" s="770">
        <f>H80</f>
        <v>4.5647022461351001E-2</v>
      </c>
    </row>
    <row r="82" spans="2:46">
      <c r="B82" s="700" t="s">
        <v>365</v>
      </c>
      <c r="C82" s="700">
        <v>3</v>
      </c>
      <c r="D82" s="770">
        <f>Assumptions!$D$93</f>
        <v>7.0635988996622823E-2</v>
      </c>
      <c r="E82" s="770">
        <f>Assumptions!$D$92</f>
        <v>0.11760378318832776</v>
      </c>
      <c r="F82" s="770">
        <f>E82+Assumptions!$D$95</f>
        <v>0.12760378318832777</v>
      </c>
      <c r="G82" s="770">
        <f>G80</f>
        <v>7.6956760726976756E-2</v>
      </c>
      <c r="H82" s="770">
        <f>H80</f>
        <v>4.5647022461351001E-2</v>
      </c>
      <c r="I82" s="147"/>
      <c r="J82" s="147"/>
      <c r="K82" s="147"/>
      <c r="L82" s="147"/>
      <c r="M82" s="147"/>
      <c r="N82" s="147"/>
      <c r="O82" s="147"/>
      <c r="P82" s="147"/>
      <c r="Q82" s="147"/>
      <c r="R82" s="147"/>
      <c r="S82" s="147"/>
      <c r="T82" s="147"/>
      <c r="U82" s="147"/>
      <c r="V82" s="147"/>
      <c r="W82" s="147"/>
      <c r="X82" s="147"/>
      <c r="Y82" s="147"/>
      <c r="Z82" s="147"/>
      <c r="AA82" s="147"/>
      <c r="AB82" s="147"/>
      <c r="AC82" s="147"/>
      <c r="AQ82"/>
      <c r="AR82"/>
      <c r="AS82"/>
      <c r="AT82"/>
    </row>
    <row r="83" spans="2:46">
      <c r="B83" s="700" t="s">
        <v>893</v>
      </c>
      <c r="C83" s="700">
        <v>4</v>
      </c>
      <c r="D83" s="686">
        <v>0</v>
      </c>
      <c r="E83" s="686">
        <v>0</v>
      </c>
      <c r="F83" s="686">
        <v>0</v>
      </c>
      <c r="G83" s="686"/>
      <c r="H83" s="686"/>
      <c r="I83" s="147"/>
      <c r="J83" s="147"/>
      <c r="K83" s="147"/>
      <c r="L83" s="147"/>
      <c r="M83" s="147"/>
      <c r="N83" s="147"/>
      <c r="O83" s="147"/>
      <c r="P83" s="147"/>
      <c r="Q83" s="147"/>
      <c r="R83" s="147"/>
      <c r="S83" s="147"/>
      <c r="T83" s="147"/>
      <c r="U83" s="147"/>
      <c r="V83" s="147"/>
      <c r="W83" s="147"/>
      <c r="X83" s="147"/>
      <c r="Y83" s="147"/>
      <c r="Z83" s="147"/>
      <c r="AA83" s="147"/>
      <c r="AB83" s="147"/>
      <c r="AC83" s="147"/>
      <c r="AQ83"/>
      <c r="AR83"/>
      <c r="AS83"/>
      <c r="AT83"/>
    </row>
    <row r="84" spans="2:46">
      <c r="I84" s="147"/>
      <c r="J84" s="147"/>
      <c r="K84" s="147"/>
      <c r="L84" s="147"/>
      <c r="M84" s="540"/>
      <c r="N84" s="540"/>
      <c r="O84" s="147"/>
      <c r="P84" s="147"/>
      <c r="Q84" s="147"/>
      <c r="R84" s="147"/>
      <c r="S84" s="147"/>
      <c r="T84" s="147"/>
      <c r="U84" s="147"/>
      <c r="V84" s="147"/>
      <c r="W84" s="147"/>
      <c r="X84" s="147"/>
      <c r="Y84" s="147"/>
      <c r="Z84" s="147"/>
      <c r="AA84" s="147"/>
      <c r="AB84" s="147"/>
      <c r="AC84" s="147"/>
      <c r="AQ84"/>
      <c r="AR84"/>
      <c r="AS84"/>
      <c r="AT84"/>
    </row>
    <row r="85" spans="2:46" s="147" customFormat="1">
      <c r="I85" s="540"/>
      <c r="J85" s="540"/>
      <c r="K85" s="540"/>
    </row>
    <row r="86" spans="2:46" s="147" customFormat="1">
      <c r="I86" s="540"/>
      <c r="J86" s="540"/>
      <c r="K86" s="540"/>
    </row>
    <row r="87" spans="2:46" s="147" customFormat="1">
      <c r="I87" s="540"/>
      <c r="J87" s="540"/>
      <c r="K87" s="540"/>
    </row>
    <row r="88" spans="2:46" s="147" customFormat="1">
      <c r="I88" s="540"/>
      <c r="J88" s="540"/>
      <c r="K88" s="540"/>
    </row>
    <row r="89" spans="2:46" s="147" customFormat="1">
      <c r="I89" s="540"/>
      <c r="J89" s="540"/>
      <c r="K89" s="540"/>
    </row>
    <row r="90" spans="2:46" s="147" customFormat="1">
      <c r="I90" s="540"/>
      <c r="J90" s="540"/>
      <c r="K90" s="540"/>
    </row>
    <row r="91" spans="2:46" s="147" customFormat="1">
      <c r="I91" s="540"/>
      <c r="J91" s="540"/>
      <c r="K91" s="540"/>
    </row>
    <row r="92" spans="2:46" s="147" customFormat="1">
      <c r="I92" s="540"/>
      <c r="J92" s="540"/>
      <c r="K92" s="540"/>
    </row>
    <row r="93" spans="2:46" s="147" customFormat="1">
      <c r="I93" s="540"/>
      <c r="J93" s="540"/>
      <c r="K93" s="540"/>
    </row>
    <row r="94" spans="2:46" s="147" customFormat="1">
      <c r="I94" s="540"/>
      <c r="J94" s="540"/>
      <c r="K94" s="540"/>
    </row>
    <row r="95" spans="2:46" s="147" customFormat="1">
      <c r="I95" s="540"/>
      <c r="J95" s="540"/>
      <c r="K95" s="540"/>
    </row>
    <row r="96" spans="2:46" s="147" customFormat="1">
      <c r="I96" s="540"/>
      <c r="J96" s="540"/>
      <c r="K96" s="540"/>
    </row>
    <row r="97" spans="9:11" s="147" customFormat="1">
      <c r="I97" s="540"/>
      <c r="J97" s="540"/>
      <c r="K97" s="540"/>
    </row>
    <row r="98" spans="9:11" s="147" customFormat="1">
      <c r="I98" s="540"/>
      <c r="J98" s="540"/>
      <c r="K98" s="540"/>
    </row>
    <row r="99" spans="9:11" s="147" customFormat="1">
      <c r="I99" s="540"/>
      <c r="J99" s="540"/>
      <c r="K99" s="540"/>
    </row>
    <row r="100" spans="9:11" s="147" customFormat="1">
      <c r="I100" s="540"/>
      <c r="J100" s="540"/>
      <c r="K100" s="540"/>
    </row>
    <row r="101" spans="9:11" s="147" customFormat="1">
      <c r="I101" s="540"/>
      <c r="J101" s="540"/>
      <c r="K101" s="540"/>
    </row>
    <row r="102" spans="9:11" s="147" customFormat="1">
      <c r="I102" s="540"/>
      <c r="J102" s="540"/>
      <c r="K102" s="540"/>
    </row>
    <row r="103" spans="9:11" s="147" customFormat="1">
      <c r="I103" s="540"/>
      <c r="J103" s="540"/>
      <c r="K103" s="540"/>
    </row>
    <row r="104" spans="9:11" s="147" customFormat="1">
      <c r="I104" s="540"/>
      <c r="J104" s="540"/>
      <c r="K104" s="540"/>
    </row>
    <row r="105" spans="9:11" s="147" customFormat="1">
      <c r="I105" s="540"/>
      <c r="J105" s="540"/>
      <c r="K105" s="540"/>
    </row>
    <row r="106" spans="9:11" s="147" customFormat="1">
      <c r="I106" s="540"/>
      <c r="J106" s="540"/>
      <c r="K106" s="540"/>
    </row>
    <row r="107" spans="9:11" s="147" customFormat="1">
      <c r="I107" s="540"/>
      <c r="J107" s="540"/>
      <c r="K107" s="540"/>
    </row>
    <row r="108" spans="9:11" s="147" customFormat="1">
      <c r="I108" s="540"/>
      <c r="J108" s="540"/>
      <c r="K108" s="540"/>
    </row>
    <row r="109" spans="9:11" s="147" customFormat="1">
      <c r="I109" s="540"/>
      <c r="J109" s="540"/>
      <c r="K109" s="540"/>
    </row>
    <row r="110" spans="9:11" s="147" customFormat="1">
      <c r="I110" s="540"/>
      <c r="J110" s="540"/>
      <c r="K110" s="540"/>
    </row>
    <row r="111" spans="9:11" s="147" customFormat="1">
      <c r="I111" s="540"/>
      <c r="J111" s="540"/>
      <c r="K111" s="540"/>
    </row>
    <row r="112" spans="9:11" s="147" customFormat="1">
      <c r="I112" s="540"/>
      <c r="J112" s="540"/>
      <c r="K112" s="540"/>
    </row>
    <row r="113" spans="9:11" s="147" customFormat="1">
      <c r="I113" s="540"/>
      <c r="J113" s="540"/>
      <c r="K113" s="540"/>
    </row>
    <row r="114" spans="9:11" s="147" customFormat="1">
      <c r="I114" s="540"/>
      <c r="J114" s="540"/>
      <c r="K114" s="540"/>
    </row>
    <row r="115" spans="9:11" s="147" customFormat="1">
      <c r="I115" s="540"/>
      <c r="J115" s="540"/>
      <c r="K115" s="540"/>
    </row>
    <row r="116" spans="9:11" s="147" customFormat="1">
      <c r="I116" s="540"/>
      <c r="J116" s="540"/>
      <c r="K116" s="540"/>
    </row>
    <row r="117" spans="9:11" s="147" customFormat="1">
      <c r="I117" s="540"/>
      <c r="J117" s="540"/>
      <c r="K117" s="540"/>
    </row>
    <row r="118" spans="9:11" s="147" customFormat="1">
      <c r="I118" s="540"/>
      <c r="J118" s="540"/>
      <c r="K118" s="540"/>
    </row>
    <row r="119" spans="9:11" s="147" customFormat="1">
      <c r="I119" s="540"/>
      <c r="J119" s="540"/>
      <c r="K119" s="540"/>
    </row>
    <row r="120" spans="9:11" s="147" customFormat="1">
      <c r="I120" s="540"/>
      <c r="J120" s="540"/>
      <c r="K120" s="540"/>
    </row>
    <row r="121" spans="9:11" s="147" customFormat="1">
      <c r="I121" s="540"/>
      <c r="J121" s="540"/>
      <c r="K121" s="540"/>
    </row>
    <row r="122" spans="9:11" s="147" customFormat="1">
      <c r="I122" s="540"/>
      <c r="J122" s="540"/>
      <c r="K122" s="540"/>
    </row>
    <row r="123" spans="9:11" s="147" customFormat="1">
      <c r="I123" s="540"/>
      <c r="J123" s="540"/>
      <c r="K123" s="540"/>
    </row>
    <row r="124" spans="9:11" s="147" customFormat="1">
      <c r="I124" s="540"/>
      <c r="J124" s="540"/>
      <c r="K124" s="540"/>
    </row>
    <row r="125" spans="9:11" s="147" customFormat="1">
      <c r="I125" s="540"/>
      <c r="J125" s="540"/>
      <c r="K125" s="540"/>
    </row>
    <row r="126" spans="9:11" s="147" customFormat="1">
      <c r="I126" s="540"/>
      <c r="J126" s="540"/>
      <c r="K126" s="540"/>
    </row>
    <row r="127" spans="9:11" s="147" customFormat="1">
      <c r="I127" s="540"/>
      <c r="J127" s="540"/>
      <c r="K127" s="540"/>
    </row>
    <row r="128" spans="9:11" s="147" customFormat="1">
      <c r="I128" s="540"/>
      <c r="J128" s="540"/>
      <c r="K128" s="540"/>
    </row>
    <row r="129" spans="7:11" s="147" customFormat="1">
      <c r="I129" s="540"/>
      <c r="J129" s="540"/>
      <c r="K129" s="540"/>
    </row>
    <row r="130" spans="7:11" s="147" customFormat="1">
      <c r="I130" s="540"/>
      <c r="J130" s="540"/>
      <c r="K130" s="540"/>
    </row>
    <row r="131" spans="7:11" s="147" customFormat="1">
      <c r="I131" s="540"/>
      <c r="J131" s="540"/>
      <c r="K131" s="540"/>
    </row>
    <row r="132" spans="7:11" s="147" customFormat="1">
      <c r="I132" s="540"/>
      <c r="J132" s="540"/>
      <c r="K132" s="540"/>
    </row>
    <row r="133" spans="7:11" s="147" customFormat="1">
      <c r="I133" s="540"/>
      <c r="J133" s="540"/>
      <c r="K133" s="540"/>
    </row>
    <row r="134" spans="7:11" s="147" customFormat="1">
      <c r="I134" s="540"/>
      <c r="J134" s="540"/>
      <c r="K134" s="540"/>
    </row>
    <row r="135" spans="7:11" s="147" customFormat="1">
      <c r="I135" s="540"/>
      <c r="J135" s="540"/>
      <c r="K135" s="540"/>
    </row>
    <row r="136" spans="7:11" s="147" customFormat="1">
      <c r="G136" s="540"/>
      <c r="H136" s="540"/>
      <c r="I136" s="540"/>
      <c r="J136" s="540"/>
      <c r="K136" s="540"/>
    </row>
    <row r="137" spans="7:11" s="147" customFormat="1">
      <c r="G137" s="540"/>
      <c r="H137" s="540"/>
      <c r="I137" s="540"/>
      <c r="J137" s="540"/>
      <c r="K137" s="540"/>
    </row>
    <row r="138" spans="7:11" s="147" customFormat="1">
      <c r="G138" s="540"/>
      <c r="H138" s="540"/>
      <c r="I138" s="540"/>
      <c r="J138" s="540"/>
      <c r="K138" s="540"/>
    </row>
    <row r="139" spans="7:11" s="147" customFormat="1">
      <c r="G139" s="540"/>
      <c r="H139" s="540"/>
      <c r="I139" s="540"/>
      <c r="J139" s="540"/>
      <c r="K139" s="540"/>
    </row>
    <row r="140" spans="7:11" s="147" customFormat="1">
      <c r="G140" s="540"/>
      <c r="H140" s="540"/>
      <c r="I140" s="540"/>
      <c r="J140" s="540"/>
      <c r="K140" s="540"/>
    </row>
    <row r="141" spans="7:11" s="147" customFormat="1">
      <c r="G141" s="540"/>
      <c r="H141" s="540"/>
      <c r="I141" s="540"/>
      <c r="J141" s="540"/>
      <c r="K141" s="540"/>
    </row>
    <row r="142" spans="7:11" s="147" customFormat="1">
      <c r="G142" s="540"/>
      <c r="H142" s="540"/>
      <c r="I142" s="540"/>
      <c r="J142" s="540"/>
      <c r="K142" s="540"/>
    </row>
    <row r="143" spans="7:11" s="147" customFormat="1">
      <c r="G143" s="540"/>
      <c r="H143" s="540"/>
      <c r="I143" s="540"/>
      <c r="J143" s="540"/>
      <c r="K143" s="540"/>
    </row>
    <row r="144" spans="7:11" s="147" customFormat="1">
      <c r="G144" s="540"/>
      <c r="H144" s="540"/>
      <c r="I144" s="540"/>
      <c r="J144" s="540"/>
      <c r="K144" s="540"/>
    </row>
    <row r="145" spans="7:11" s="147" customFormat="1">
      <c r="G145" s="540"/>
      <c r="H145" s="540"/>
      <c r="I145" s="540"/>
      <c r="J145" s="540"/>
      <c r="K145" s="540"/>
    </row>
    <row r="146" spans="7:11" s="147" customFormat="1">
      <c r="G146" s="540"/>
      <c r="H146" s="540"/>
      <c r="I146" s="540"/>
      <c r="J146" s="540"/>
      <c r="K146" s="540"/>
    </row>
    <row r="147" spans="7:11" s="147" customFormat="1">
      <c r="G147" s="540"/>
      <c r="H147" s="540"/>
      <c r="I147" s="540"/>
      <c r="J147" s="540"/>
      <c r="K147" s="540"/>
    </row>
    <row r="148" spans="7:11" s="147" customFormat="1">
      <c r="G148" s="540"/>
      <c r="H148" s="540"/>
      <c r="I148" s="540"/>
      <c r="J148" s="540"/>
      <c r="K148" s="540"/>
    </row>
    <row r="149" spans="7:11" s="147" customFormat="1">
      <c r="G149" s="540"/>
      <c r="H149" s="540"/>
      <c r="I149" s="540"/>
      <c r="J149" s="540"/>
      <c r="K149" s="540"/>
    </row>
    <row r="150" spans="7:11" s="147" customFormat="1">
      <c r="G150" s="540"/>
      <c r="H150" s="540"/>
      <c r="I150" s="540"/>
      <c r="J150" s="540"/>
      <c r="K150" s="540"/>
    </row>
    <row r="151" spans="7:11" s="147" customFormat="1">
      <c r="G151" s="540"/>
      <c r="H151" s="540"/>
      <c r="I151" s="540"/>
      <c r="J151" s="540"/>
      <c r="K151" s="540"/>
    </row>
    <row r="152" spans="7:11" s="147" customFormat="1">
      <c r="G152" s="540"/>
      <c r="H152" s="540"/>
      <c r="I152" s="540"/>
      <c r="J152" s="540"/>
      <c r="K152" s="540"/>
    </row>
    <row r="153" spans="7:11" s="147" customFormat="1">
      <c r="G153" s="540"/>
      <c r="H153" s="540"/>
      <c r="I153" s="540"/>
      <c r="J153" s="540"/>
      <c r="K153" s="540"/>
    </row>
    <row r="154" spans="7:11" s="147" customFormat="1">
      <c r="G154" s="540"/>
      <c r="H154" s="540"/>
      <c r="I154" s="540"/>
      <c r="J154" s="540"/>
      <c r="K154" s="540"/>
    </row>
    <row r="155" spans="7:11" s="147" customFormat="1">
      <c r="G155" s="540"/>
      <c r="H155" s="540"/>
      <c r="I155" s="540"/>
      <c r="J155" s="540"/>
      <c r="K155" s="540"/>
    </row>
    <row r="156" spans="7:11" s="147" customFormat="1">
      <c r="G156" s="540"/>
      <c r="H156" s="540"/>
      <c r="I156" s="540"/>
      <c r="J156" s="540"/>
      <c r="K156" s="540"/>
    </row>
    <row r="157" spans="7:11" s="147" customFormat="1">
      <c r="G157" s="540"/>
      <c r="H157" s="540"/>
      <c r="I157" s="540"/>
      <c r="J157" s="540"/>
      <c r="K157" s="540"/>
    </row>
    <row r="158" spans="7:11" s="147" customFormat="1">
      <c r="G158" s="540"/>
      <c r="H158" s="540"/>
      <c r="I158" s="540"/>
      <c r="J158" s="540"/>
      <c r="K158" s="540"/>
    </row>
    <row r="159" spans="7:11" s="147" customFormat="1">
      <c r="G159" s="540"/>
      <c r="H159" s="540"/>
      <c r="I159" s="540"/>
      <c r="J159" s="540"/>
      <c r="K159" s="540"/>
    </row>
    <row r="160" spans="7:11" s="147" customFormat="1">
      <c r="G160" s="540"/>
      <c r="H160" s="540"/>
      <c r="I160" s="540"/>
      <c r="J160" s="540"/>
      <c r="K160" s="540"/>
    </row>
    <row r="161" spans="7:11" s="147" customFormat="1">
      <c r="G161" s="540"/>
      <c r="H161" s="540"/>
      <c r="I161" s="540"/>
      <c r="J161" s="540"/>
      <c r="K161" s="540"/>
    </row>
    <row r="162" spans="7:11" s="147" customFormat="1">
      <c r="G162" s="540"/>
      <c r="H162" s="540"/>
      <c r="I162" s="540"/>
      <c r="J162" s="540"/>
      <c r="K162" s="540"/>
    </row>
    <row r="163" spans="7:11" s="147" customFormat="1">
      <c r="G163" s="540"/>
      <c r="H163" s="540"/>
      <c r="I163" s="540"/>
      <c r="J163" s="540"/>
      <c r="K163" s="540"/>
    </row>
    <row r="164" spans="7:11" s="147" customFormat="1">
      <c r="G164" s="540"/>
      <c r="H164" s="540"/>
      <c r="I164" s="540"/>
      <c r="J164" s="540"/>
      <c r="K164" s="540"/>
    </row>
    <row r="165" spans="7:11" s="147" customFormat="1">
      <c r="G165" s="540"/>
      <c r="H165" s="540"/>
      <c r="I165" s="540"/>
      <c r="J165" s="540"/>
      <c r="K165" s="540"/>
    </row>
    <row r="166" spans="7:11" s="147" customFormat="1">
      <c r="G166" s="540"/>
      <c r="H166" s="540"/>
      <c r="I166" s="540"/>
      <c r="J166" s="540"/>
      <c r="K166" s="540"/>
    </row>
    <row r="167" spans="7:11" s="147" customFormat="1">
      <c r="G167" s="540"/>
      <c r="H167" s="540"/>
      <c r="I167" s="540"/>
      <c r="J167" s="540"/>
      <c r="K167" s="540"/>
    </row>
    <row r="168" spans="7:11" s="147" customFormat="1">
      <c r="G168" s="540"/>
      <c r="H168" s="540"/>
      <c r="I168" s="540"/>
      <c r="J168" s="540"/>
      <c r="K168" s="540"/>
    </row>
    <row r="169" spans="7:11" s="147" customFormat="1">
      <c r="G169" s="540"/>
      <c r="H169" s="540"/>
      <c r="I169" s="540"/>
      <c r="J169" s="540"/>
      <c r="K169" s="540"/>
    </row>
    <row r="170" spans="7:11" s="147" customFormat="1">
      <c r="G170" s="540"/>
      <c r="H170" s="540"/>
      <c r="I170" s="540"/>
      <c r="J170" s="540"/>
      <c r="K170" s="540"/>
    </row>
    <row r="171" spans="7:11" s="147" customFormat="1">
      <c r="G171" s="540"/>
      <c r="H171" s="540"/>
      <c r="I171" s="540"/>
      <c r="J171" s="540"/>
      <c r="K171" s="540"/>
    </row>
    <row r="172" spans="7:11" s="147" customFormat="1">
      <c r="G172" s="540"/>
      <c r="H172" s="540"/>
      <c r="I172" s="540"/>
      <c r="J172" s="540"/>
      <c r="K172" s="540"/>
    </row>
    <row r="173" spans="7:11" s="147" customFormat="1">
      <c r="G173" s="540"/>
      <c r="H173" s="540"/>
      <c r="I173" s="540"/>
      <c r="J173" s="540"/>
      <c r="K173" s="540"/>
    </row>
    <row r="174" spans="7:11" s="147" customFormat="1">
      <c r="G174" s="540"/>
      <c r="H174" s="540"/>
      <c r="I174" s="540"/>
      <c r="J174" s="540"/>
      <c r="K174" s="540"/>
    </row>
    <row r="175" spans="7:11" s="147" customFormat="1">
      <c r="G175" s="540"/>
      <c r="H175" s="540"/>
      <c r="I175" s="540"/>
      <c r="J175" s="540"/>
      <c r="K175" s="540"/>
    </row>
    <row r="176" spans="7:11" s="147" customFormat="1">
      <c r="G176" s="540"/>
      <c r="H176" s="540"/>
      <c r="I176" s="540"/>
      <c r="J176" s="540"/>
      <c r="K176" s="540"/>
    </row>
    <row r="177" spans="7:14" s="147" customFormat="1">
      <c r="G177" s="540"/>
      <c r="H177" s="540"/>
      <c r="I177" s="540"/>
      <c r="J177" s="540"/>
      <c r="K177" s="540"/>
    </row>
    <row r="178" spans="7:14" s="147" customFormat="1">
      <c r="G178" s="540"/>
      <c r="H178" s="540"/>
      <c r="I178" s="540"/>
      <c r="J178" s="540"/>
      <c r="K178" s="540"/>
    </row>
    <row r="179" spans="7:14" s="147" customFormat="1">
      <c r="G179" s="540"/>
      <c r="H179" s="540"/>
      <c r="I179" s="540"/>
      <c r="J179" s="540"/>
      <c r="K179" s="540"/>
    </row>
    <row r="180" spans="7:14" s="147" customFormat="1">
      <c r="G180" s="540"/>
      <c r="H180" s="540"/>
      <c r="I180" s="540"/>
      <c r="J180" s="540"/>
      <c r="K180" s="540"/>
    </row>
    <row r="181" spans="7:14" s="147" customFormat="1">
      <c r="G181" s="540"/>
      <c r="H181" s="540"/>
      <c r="I181" s="540"/>
      <c r="J181" s="540"/>
      <c r="K181" s="540"/>
    </row>
    <row r="182" spans="7:14" s="147" customFormat="1">
      <c r="G182" s="540"/>
      <c r="H182" s="540"/>
      <c r="I182" s="540"/>
      <c r="J182" s="540"/>
      <c r="K182" s="540"/>
    </row>
    <row r="183" spans="7:14" s="147" customFormat="1">
      <c r="G183" s="540"/>
      <c r="H183" s="540"/>
      <c r="I183" s="540"/>
      <c r="J183" s="540"/>
      <c r="K183" s="540"/>
    </row>
    <row r="184" spans="7:14" s="147" customFormat="1">
      <c r="M184" s="540"/>
      <c r="N184" s="540"/>
    </row>
    <row r="185" spans="7:14" s="147" customFormat="1">
      <c r="M185" s="540"/>
      <c r="N185" s="540"/>
    </row>
    <row r="186" spans="7:14" s="147" customFormat="1">
      <c r="M186" s="540"/>
      <c r="N186" s="540"/>
    </row>
    <row r="187" spans="7:14" s="147" customFormat="1">
      <c r="M187" s="540"/>
      <c r="N187" s="540"/>
    </row>
    <row r="188" spans="7:14" s="147" customFormat="1">
      <c r="M188" s="540"/>
      <c r="N188" s="540"/>
    </row>
    <row r="189" spans="7:14" s="147" customFormat="1">
      <c r="M189" s="540"/>
      <c r="N189" s="540"/>
    </row>
    <row r="190" spans="7:14" s="147" customFormat="1">
      <c r="M190" s="540"/>
      <c r="N190" s="540"/>
    </row>
    <row r="191" spans="7:14" s="147" customFormat="1">
      <c r="M191" s="540"/>
      <c r="N191" s="540"/>
    </row>
    <row r="192" spans="7:14" s="147" customFormat="1">
      <c r="M192" s="540"/>
      <c r="N192" s="540"/>
    </row>
    <row r="193" spans="13:14" s="147" customFormat="1">
      <c r="M193" s="540"/>
      <c r="N193" s="540"/>
    </row>
    <row r="194" spans="13:14" s="147" customFormat="1">
      <c r="M194" s="540"/>
      <c r="N194" s="540"/>
    </row>
    <row r="195" spans="13:14" s="147" customFormat="1">
      <c r="M195" s="540"/>
      <c r="N195" s="540"/>
    </row>
    <row r="196" spans="13:14" s="147" customFormat="1">
      <c r="M196" s="540"/>
      <c r="N196" s="540"/>
    </row>
    <row r="197" spans="13:14" s="147" customFormat="1">
      <c r="M197" s="540"/>
      <c r="N197" s="540"/>
    </row>
    <row r="198" spans="13:14" s="147" customFormat="1">
      <c r="M198" s="540"/>
      <c r="N198" s="540"/>
    </row>
    <row r="199" spans="13:14" s="147" customFormat="1">
      <c r="M199" s="540"/>
      <c r="N199" s="540"/>
    </row>
    <row r="200" spans="13:14" s="147" customFormat="1">
      <c r="M200" s="540"/>
      <c r="N200" s="540"/>
    </row>
    <row r="201" spans="13:14" s="147" customFormat="1">
      <c r="M201" s="540"/>
      <c r="N201" s="540"/>
    </row>
    <row r="202" spans="13:14" s="147" customFormat="1">
      <c r="M202" s="540"/>
      <c r="N202" s="540"/>
    </row>
    <row r="203" spans="13:14" s="147" customFormat="1">
      <c r="M203" s="540"/>
      <c r="N203" s="540"/>
    </row>
    <row r="204" spans="13:14" s="147" customFormat="1">
      <c r="M204" s="540"/>
      <c r="N204" s="540"/>
    </row>
    <row r="205" spans="13:14" s="147" customFormat="1">
      <c r="M205" s="540"/>
      <c r="N205" s="540"/>
    </row>
    <row r="206" spans="13:14" s="147" customFormat="1">
      <c r="M206" s="540"/>
      <c r="N206" s="540"/>
    </row>
    <row r="207" spans="13:14" s="147" customFormat="1">
      <c r="M207" s="540"/>
      <c r="N207" s="540"/>
    </row>
    <row r="208" spans="13:14" s="147" customFormat="1">
      <c r="M208" s="540"/>
      <c r="N208" s="540"/>
    </row>
    <row r="209" spans="13:14" s="147" customFormat="1">
      <c r="M209" s="540"/>
      <c r="N209" s="540"/>
    </row>
    <row r="210" spans="13:14" s="147" customFormat="1">
      <c r="M210" s="540"/>
      <c r="N210" s="540"/>
    </row>
    <row r="211" spans="13:14" s="147" customFormat="1">
      <c r="M211" s="540"/>
      <c r="N211" s="540"/>
    </row>
    <row r="212" spans="13:14" s="147" customFormat="1">
      <c r="M212" s="540"/>
      <c r="N212" s="540"/>
    </row>
    <row r="213" spans="13:14" s="147" customFormat="1">
      <c r="M213" s="540"/>
      <c r="N213" s="540"/>
    </row>
    <row r="214" spans="13:14" s="147" customFormat="1">
      <c r="M214" s="540"/>
      <c r="N214" s="540"/>
    </row>
    <row r="215" spans="13:14" s="147" customFormat="1">
      <c r="M215" s="540"/>
      <c r="N215" s="540"/>
    </row>
    <row r="216" spans="13:14" s="147" customFormat="1">
      <c r="M216" s="540"/>
      <c r="N216" s="540"/>
    </row>
    <row r="217" spans="13:14" s="147" customFormat="1">
      <c r="M217" s="540"/>
      <c r="N217" s="540"/>
    </row>
    <row r="218" spans="13:14" s="147" customFormat="1">
      <c r="M218" s="540"/>
      <c r="N218" s="540"/>
    </row>
    <row r="219" spans="13:14" s="147" customFormat="1">
      <c r="M219" s="540"/>
      <c r="N219" s="540"/>
    </row>
    <row r="220" spans="13:14" s="147" customFormat="1">
      <c r="M220" s="540"/>
      <c r="N220" s="540"/>
    </row>
    <row r="221" spans="13:14" s="147" customFormat="1">
      <c r="M221" s="540"/>
      <c r="N221" s="540"/>
    </row>
    <row r="222" spans="13:14" s="147" customFormat="1">
      <c r="M222" s="540"/>
      <c r="N222" s="540"/>
    </row>
    <row r="223" spans="13:14" s="147" customFormat="1">
      <c r="M223" s="540"/>
      <c r="N223" s="540"/>
    </row>
    <row r="224" spans="13:14" s="147" customFormat="1">
      <c r="M224" s="540"/>
      <c r="N224" s="540"/>
    </row>
    <row r="225" spans="13:14" s="147" customFormat="1">
      <c r="M225" s="540"/>
      <c r="N225" s="540"/>
    </row>
    <row r="226" spans="13:14" s="147" customFormat="1">
      <c r="M226" s="540"/>
      <c r="N226" s="540"/>
    </row>
    <row r="227" spans="13:14" s="147" customFormat="1">
      <c r="M227" s="540"/>
      <c r="N227" s="540"/>
    </row>
    <row r="228" spans="13:14" s="147" customFormat="1">
      <c r="M228" s="540"/>
      <c r="N228" s="540"/>
    </row>
    <row r="229" spans="13:14" s="147" customFormat="1">
      <c r="M229" s="540"/>
      <c r="N229" s="540"/>
    </row>
    <row r="230" spans="13:14" s="147" customFormat="1">
      <c r="M230" s="540"/>
      <c r="N230" s="540"/>
    </row>
    <row r="231" spans="13:14" s="147" customFormat="1">
      <c r="M231" s="540"/>
      <c r="N231" s="540"/>
    </row>
    <row r="232" spans="13:14" s="147" customFormat="1">
      <c r="M232" s="540"/>
      <c r="N232" s="540"/>
    </row>
    <row r="233" spans="13:14" s="147" customFormat="1">
      <c r="M233" s="540"/>
      <c r="N233" s="540"/>
    </row>
    <row r="234" spans="13:14" s="147" customFormat="1">
      <c r="M234" s="540"/>
      <c r="N234" s="540"/>
    </row>
    <row r="235" spans="13:14" s="147" customFormat="1">
      <c r="M235" s="540"/>
      <c r="N235" s="540"/>
    </row>
    <row r="236" spans="13:14" s="147" customFormat="1">
      <c r="M236" s="540"/>
      <c r="N236" s="540"/>
    </row>
    <row r="237" spans="13:14" s="147" customFormat="1">
      <c r="M237" s="540"/>
      <c r="N237" s="540"/>
    </row>
    <row r="238" spans="13:14" s="147" customFormat="1">
      <c r="M238" s="540"/>
      <c r="N238" s="540"/>
    </row>
    <row r="239" spans="13:14" s="147" customFormat="1">
      <c r="M239" s="540"/>
      <c r="N239" s="540"/>
    </row>
    <row r="240" spans="13:14" s="147" customFormat="1">
      <c r="M240" s="540"/>
      <c r="N240" s="540"/>
    </row>
    <row r="241" spans="2:29" s="147" customFormat="1">
      <c r="M241" s="540"/>
      <c r="N241" s="540"/>
    </row>
    <row r="242" spans="2:29" s="147" customFormat="1">
      <c r="M242" s="540"/>
      <c r="N242" s="540"/>
    </row>
    <row r="243" spans="2:29" s="147" customFormat="1">
      <c r="M243" s="540"/>
      <c r="N243" s="540"/>
    </row>
    <row r="244" spans="2:29" s="147" customFormat="1">
      <c r="B244"/>
      <c r="C244"/>
      <c r="D244"/>
      <c r="E244"/>
      <c r="F244"/>
      <c r="G244"/>
      <c r="H244"/>
      <c r="I244"/>
      <c r="J244"/>
      <c r="K244"/>
      <c r="M244" s="540"/>
      <c r="N244" s="540"/>
    </row>
    <row r="245" spans="2:29" s="147" customFormat="1">
      <c r="B245"/>
      <c r="C245"/>
      <c r="D245"/>
      <c r="E245"/>
      <c r="F245"/>
      <c r="G245"/>
      <c r="H245"/>
      <c r="I245"/>
      <c r="J245"/>
      <c r="K245"/>
      <c r="M245" s="540"/>
      <c r="N245" s="540"/>
    </row>
    <row r="246" spans="2:29" s="147" customFormat="1">
      <c r="B246"/>
      <c r="C246"/>
      <c r="D246"/>
      <c r="E246"/>
      <c r="F246"/>
      <c r="G246"/>
      <c r="H246"/>
      <c r="I246"/>
      <c r="J246"/>
      <c r="K246"/>
      <c r="M246" s="540"/>
      <c r="N246" s="540"/>
    </row>
    <row r="247" spans="2:29" s="147" customFormat="1">
      <c r="B247"/>
      <c r="C247"/>
      <c r="D247"/>
      <c r="E247"/>
      <c r="F247"/>
      <c r="G247"/>
      <c r="H247"/>
      <c r="I247"/>
      <c r="J247"/>
      <c r="K247"/>
      <c r="M247" s="540"/>
      <c r="N247" s="540"/>
      <c r="T247"/>
      <c r="U247"/>
      <c r="V247"/>
      <c r="W247"/>
      <c r="X247"/>
      <c r="Y247"/>
      <c r="Z247"/>
      <c r="AA247"/>
      <c r="AB247"/>
      <c r="AC247"/>
    </row>
  </sheetData>
  <sheetProtection algorithmName="SHA-512" hashValue="C2xLPS0hFqiR21MTcKOwKH0LbxB0aD2GRNVK7e6Axa4JNgSHc0m3VvDnD14zJ3bowodAtfWydUJTIOnJZ27UHQ==" saltValue="mYKUIrmBo53Us6soh6le9g==" spinCount="100000" sheet="1" objects="1" scenarios="1"/>
  <autoFilter ref="A6:AD42" xr:uid="{18C7AA57-D2E2-4AFF-A0AD-FA0B3531B266}"/>
  <mergeCells count="6">
    <mergeCell ref="D59:H59"/>
    <mergeCell ref="L4:T4"/>
    <mergeCell ref="V4:Y4"/>
    <mergeCell ref="B4:E4"/>
    <mergeCell ref="F4:I4"/>
    <mergeCell ref="J4:K4"/>
  </mergeCells>
  <phoneticPr fontId="7" type="noConversion"/>
  <conditionalFormatting sqref="P76:T76 O75:T75 O42:AB42 U75:AB76 V7:Y41 J7:T41">
    <cfRule type="cellIs" dxfId="14" priority="3" operator="equal">
      <formula>"?"</formula>
    </cfRule>
    <cfRule type="cellIs" dxfId="13" priority="4" operator="equal">
      <formula>1</formula>
    </cfRule>
    <cfRule type="cellIs" dxfId="12" priority="5" operator="equal">
      <formula>0</formula>
    </cfRule>
  </conditionalFormatting>
  <conditionalFormatting sqref="Q2:X2">
    <cfRule type="expression" dxfId="11" priority="2">
      <formula>AND(#REF!&gt;0,OR(#REF!&gt;0,#REF!&gt;0))</formula>
    </cfRule>
  </conditionalFormatting>
  <conditionalFormatting sqref="C47:H47">
    <cfRule type="expression" dxfId="10" priority="1">
      <formula>AND(#REF!&gt;0,OR(#REF!&gt;0,#REF!&gt;0))</formula>
    </cfRule>
  </conditionalFormatting>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0C5E5-2828-4720-87C4-BD1972A7803E}">
  <sheetPr codeName="Sheet31">
    <tabColor rgb="FFFF0000"/>
  </sheetPr>
  <dimension ref="A1:Z35"/>
  <sheetViews>
    <sheetView workbookViewId="0">
      <selection activeCell="J5" sqref="J5"/>
    </sheetView>
  </sheetViews>
  <sheetFormatPr defaultRowHeight="14.45"/>
  <cols>
    <col min="22" max="22" width="15.28515625" customWidth="1"/>
    <col min="23" max="24" width="13" customWidth="1"/>
    <col min="25" max="25" width="9.85546875" customWidth="1"/>
  </cols>
  <sheetData>
    <row r="1" spans="1:26">
      <c r="A1" t="s">
        <v>894</v>
      </c>
    </row>
    <row r="2" spans="1:26" ht="15" thickBot="1"/>
    <row r="3" spans="1:26" ht="15" thickBot="1">
      <c r="B3" s="676"/>
      <c r="C3" s="658"/>
      <c r="D3" s="658"/>
      <c r="E3" s="658"/>
      <c r="F3" s="658"/>
      <c r="G3" s="658"/>
      <c r="H3" s="1823" t="s">
        <v>895</v>
      </c>
      <c r="I3" s="1824"/>
      <c r="J3" s="1825" t="s">
        <v>896</v>
      </c>
      <c r="K3" s="1826"/>
      <c r="L3" s="1826"/>
      <c r="M3" s="1826"/>
      <c r="N3" s="1826"/>
      <c r="O3" s="1826"/>
      <c r="P3" s="1826"/>
      <c r="Q3" s="1826"/>
      <c r="R3" s="1827"/>
      <c r="S3" s="942" t="s">
        <v>897</v>
      </c>
      <c r="T3" s="942"/>
      <c r="U3" s="942"/>
      <c r="V3" s="1825" t="s">
        <v>898</v>
      </c>
      <c r="W3" s="1827"/>
      <c r="X3" s="677"/>
      <c r="Y3" s="677"/>
    </row>
    <row r="4" spans="1:26" ht="102" thickBot="1">
      <c r="A4" t="s">
        <v>899</v>
      </c>
      <c r="B4" s="678" t="s">
        <v>259</v>
      </c>
      <c r="C4" s="679" t="s">
        <v>900</v>
      </c>
      <c r="D4" s="679" t="s">
        <v>901</v>
      </c>
      <c r="E4" s="679" t="s">
        <v>902</v>
      </c>
      <c r="F4" s="680" t="s">
        <v>903</v>
      </c>
      <c r="G4" s="679" t="s">
        <v>904</v>
      </c>
      <c r="H4" s="678" t="s">
        <v>253</v>
      </c>
      <c r="I4" s="681" t="s">
        <v>905</v>
      </c>
      <c r="J4" s="1277" t="s">
        <v>342</v>
      </c>
      <c r="K4" s="1047" t="s">
        <v>345</v>
      </c>
      <c r="L4" s="473" t="s">
        <v>160</v>
      </c>
      <c r="M4" s="473" t="s">
        <v>175</v>
      </c>
      <c r="N4" s="473" t="s">
        <v>151</v>
      </c>
      <c r="O4" s="473" t="s">
        <v>349</v>
      </c>
      <c r="P4" s="473" t="s">
        <v>177</v>
      </c>
      <c r="Q4" s="473" t="s">
        <v>352</v>
      </c>
      <c r="R4" s="486" t="s">
        <v>162</v>
      </c>
      <c r="S4" s="368" t="s">
        <v>354</v>
      </c>
      <c r="T4" s="368" t="s">
        <v>356</v>
      </c>
      <c r="U4" s="941" t="s">
        <v>357</v>
      </c>
      <c r="V4" s="683" t="s">
        <v>253</v>
      </c>
      <c r="W4" s="684" t="s">
        <v>906</v>
      </c>
      <c r="X4" s="1276" t="s">
        <v>907</v>
      </c>
      <c r="Y4" s="682" t="s">
        <v>908</v>
      </c>
      <c r="Z4" t="s">
        <v>581</v>
      </c>
    </row>
    <row r="5" spans="1:26">
      <c r="A5">
        <v>2</v>
      </c>
      <c r="B5" t="str">
        <f>'User Inputs and Savings'!C4</f>
        <v/>
      </c>
      <c r="C5" t="str">
        <f>'User Inputs and Savings'!H8</f>
        <v/>
      </c>
      <c r="D5">
        <f>'User Inputs and Savings'!H49</f>
        <v>0</v>
      </c>
      <c r="E5">
        <f>'User Inputs and Savings'!C19</f>
        <v>0</v>
      </c>
      <c r="F5" t="str">
        <f>'User Inputs and Savings'!C30</f>
        <v>Select Project Type</v>
      </c>
      <c r="G5">
        <f>'User Inputs and Savings'!C93</f>
        <v>0</v>
      </c>
      <c r="H5">
        <f>'User Inputs and Savings'!$C$20</f>
        <v>0</v>
      </c>
      <c r="I5">
        <f>'User Inputs and Savings'!$C$21</f>
        <v>0</v>
      </c>
      <c r="J5">
        <f t="shared" ref="J5:R9" si="0">VLOOKUP(J$4,$B$22:$G$31,$A5,FALSE)</f>
        <v>0</v>
      </c>
      <c r="K5">
        <f t="shared" si="0"/>
        <v>0</v>
      </c>
      <c r="L5">
        <f t="shared" si="0"/>
        <v>0</v>
      </c>
      <c r="M5">
        <f t="shared" si="0"/>
        <v>0</v>
      </c>
      <c r="N5">
        <f t="shared" si="0"/>
        <v>0</v>
      </c>
      <c r="O5">
        <f t="shared" si="0"/>
        <v>0</v>
      </c>
      <c r="P5">
        <f t="shared" si="0"/>
        <v>0</v>
      </c>
      <c r="Q5">
        <f t="shared" si="0"/>
        <v>0</v>
      </c>
      <c r="R5">
        <f t="shared" si="0"/>
        <v>0</v>
      </c>
      <c r="S5">
        <f>VLOOKUP(S$4,$B$22:$G$34,$A5,FALSE)</f>
        <v>0</v>
      </c>
      <c r="T5">
        <f t="shared" ref="T5:U9" si="1">VLOOKUP(T$4,$B$22:$G$34,$A5,FALSE)</f>
        <v>0</v>
      </c>
      <c r="U5">
        <f t="shared" si="1"/>
        <v>0</v>
      </c>
      <c r="V5" s="4">
        <f>'Project Savings'!$D$144</f>
        <v>0</v>
      </c>
      <c r="W5" s="4" t="e">
        <f>'Project Savings'!$D$146</f>
        <v>#N/A</v>
      </c>
      <c r="X5" s="4" t="e">
        <f>'Incentive Calc'!$E$22+'Incentive Calc'!$E$27</f>
        <v>#N/A</v>
      </c>
      <c r="Y5" s="995" t="e">
        <f>'Incentive Calc'!$F$44</f>
        <v>#DIV/0!</v>
      </c>
      <c r="Z5">
        <f>'User Inputs and Savings'!$C$18</f>
        <v>0</v>
      </c>
    </row>
    <row r="6" spans="1:26">
      <c r="A6">
        <v>3</v>
      </c>
      <c r="B6" t="str">
        <f>B5</f>
        <v/>
      </c>
      <c r="C6" t="str">
        <f t="shared" ref="C6:G6" si="2">C5</f>
        <v/>
      </c>
      <c r="D6">
        <f t="shared" si="2"/>
        <v>0</v>
      </c>
      <c r="E6">
        <f t="shared" si="2"/>
        <v>0</v>
      </c>
      <c r="F6" t="str">
        <f t="shared" si="2"/>
        <v>Select Project Type</v>
      </c>
      <c r="G6">
        <f t="shared" si="2"/>
        <v>0</v>
      </c>
      <c r="H6">
        <f>'User Inputs and Savings'!$C$20</f>
        <v>0</v>
      </c>
      <c r="I6">
        <f>'User Inputs and Savings'!$C$21</f>
        <v>0</v>
      </c>
      <c r="J6">
        <f t="shared" si="0"/>
        <v>0</v>
      </c>
      <c r="K6">
        <f t="shared" si="0"/>
        <v>0</v>
      </c>
      <c r="L6">
        <f t="shared" si="0"/>
        <v>0</v>
      </c>
      <c r="M6">
        <f t="shared" si="0"/>
        <v>0</v>
      </c>
      <c r="N6">
        <f t="shared" si="0"/>
        <v>0</v>
      </c>
      <c r="O6">
        <f t="shared" si="0"/>
        <v>0</v>
      </c>
      <c r="P6">
        <f t="shared" si="0"/>
        <v>0</v>
      </c>
      <c r="Q6">
        <f t="shared" si="0"/>
        <v>0</v>
      </c>
      <c r="R6">
        <f t="shared" si="0"/>
        <v>0</v>
      </c>
      <c r="S6">
        <f t="shared" ref="S6:S9" si="3">VLOOKUP(S$4,$B$22:$G$34,$A6,FALSE)</f>
        <v>0</v>
      </c>
      <c r="T6">
        <f t="shared" si="1"/>
        <v>0</v>
      </c>
      <c r="U6">
        <f t="shared" si="1"/>
        <v>0</v>
      </c>
      <c r="V6" s="4">
        <f>'Project Savings'!$E$144</f>
        <v>0</v>
      </c>
      <c r="W6" s="4" t="e">
        <f>'Project Savings'!$E$146</f>
        <v>#N/A</v>
      </c>
      <c r="X6" s="4" t="e">
        <f>'Incentive Calc'!$F$22+'Incentive Calc'!$E$27</f>
        <v>#N/A</v>
      </c>
      <c r="Y6" s="995" t="e">
        <f>'Incentive Calc'!$F$44</f>
        <v>#DIV/0!</v>
      </c>
      <c r="Z6">
        <f>'User Inputs and Savings'!$C$18</f>
        <v>0</v>
      </c>
    </row>
    <row r="7" spans="1:26">
      <c r="A7">
        <v>4</v>
      </c>
      <c r="B7" t="str">
        <f t="shared" ref="B7:B10" si="4">B6</f>
        <v/>
      </c>
      <c r="C7" t="str">
        <f t="shared" ref="C7:C9" si="5">C6</f>
        <v/>
      </c>
      <c r="D7">
        <f t="shared" ref="D7:D10" si="6">D6</f>
        <v>0</v>
      </c>
      <c r="E7">
        <f t="shared" ref="E7:E10" si="7">E6</f>
        <v>0</v>
      </c>
      <c r="F7" t="str">
        <f t="shared" ref="F7:F10" si="8">F6</f>
        <v>Select Project Type</v>
      </c>
      <c r="G7">
        <f t="shared" ref="G7:G10" si="9">G6</f>
        <v>0</v>
      </c>
      <c r="H7">
        <f>'User Inputs and Savings'!$C$20</f>
        <v>0</v>
      </c>
      <c r="I7">
        <f>'User Inputs and Savings'!$C$21</f>
        <v>0</v>
      </c>
      <c r="J7">
        <f t="shared" si="0"/>
        <v>0</v>
      </c>
      <c r="K7">
        <f t="shared" si="0"/>
        <v>0</v>
      </c>
      <c r="L7">
        <f t="shared" si="0"/>
        <v>0</v>
      </c>
      <c r="M7">
        <f t="shared" si="0"/>
        <v>0</v>
      </c>
      <c r="N7">
        <f t="shared" si="0"/>
        <v>0</v>
      </c>
      <c r="O7">
        <f t="shared" si="0"/>
        <v>0</v>
      </c>
      <c r="P7">
        <f t="shared" si="0"/>
        <v>0</v>
      </c>
      <c r="Q7">
        <f t="shared" si="0"/>
        <v>0</v>
      </c>
      <c r="R7">
        <f t="shared" si="0"/>
        <v>0</v>
      </c>
      <c r="S7">
        <f t="shared" si="3"/>
        <v>0</v>
      </c>
      <c r="T7">
        <f t="shared" si="1"/>
        <v>0</v>
      </c>
      <c r="U7">
        <f t="shared" si="1"/>
        <v>0</v>
      </c>
      <c r="V7" s="4">
        <f>'Project Savings'!$F$144</f>
        <v>0</v>
      </c>
      <c r="W7" s="4" t="e">
        <f>'Project Savings'!$F$146</f>
        <v>#N/A</v>
      </c>
      <c r="X7" s="4" t="e">
        <f>'Incentive Calc'!$G$22+'Incentive Calc'!$G$27</f>
        <v>#N/A</v>
      </c>
      <c r="Y7" s="995" t="e">
        <f>'Incentive Calc'!$F$44</f>
        <v>#DIV/0!</v>
      </c>
      <c r="Z7">
        <f>'User Inputs and Savings'!$C$18</f>
        <v>0</v>
      </c>
    </row>
    <row r="8" spans="1:26">
      <c r="A8">
        <v>5</v>
      </c>
      <c r="B8" t="str">
        <f t="shared" si="4"/>
        <v/>
      </c>
      <c r="C8" t="str">
        <f t="shared" si="5"/>
        <v/>
      </c>
      <c r="D8">
        <f t="shared" si="6"/>
        <v>0</v>
      </c>
      <c r="E8">
        <f t="shared" si="7"/>
        <v>0</v>
      </c>
      <c r="F8" t="str">
        <f t="shared" si="8"/>
        <v>Select Project Type</v>
      </c>
      <c r="G8">
        <f t="shared" si="9"/>
        <v>0</v>
      </c>
      <c r="H8">
        <f>'User Inputs and Savings'!$C$20</f>
        <v>0</v>
      </c>
      <c r="I8">
        <f>'User Inputs and Savings'!$C$21</f>
        <v>0</v>
      </c>
      <c r="J8">
        <f t="shared" si="0"/>
        <v>0</v>
      </c>
      <c r="K8">
        <f t="shared" si="0"/>
        <v>0</v>
      </c>
      <c r="L8">
        <f t="shared" si="0"/>
        <v>0</v>
      </c>
      <c r="M8">
        <f t="shared" si="0"/>
        <v>0</v>
      </c>
      <c r="N8">
        <f t="shared" si="0"/>
        <v>0</v>
      </c>
      <c r="O8">
        <f t="shared" si="0"/>
        <v>0</v>
      </c>
      <c r="P8">
        <f t="shared" si="0"/>
        <v>0</v>
      </c>
      <c r="Q8">
        <f t="shared" si="0"/>
        <v>0</v>
      </c>
      <c r="R8">
        <f t="shared" si="0"/>
        <v>0</v>
      </c>
      <c r="S8">
        <f t="shared" si="3"/>
        <v>0</v>
      </c>
      <c r="T8">
        <f t="shared" si="1"/>
        <v>0</v>
      </c>
      <c r="U8">
        <f t="shared" si="1"/>
        <v>0</v>
      </c>
      <c r="V8" s="4">
        <f>'Project Savings'!$G$144</f>
        <v>0</v>
      </c>
      <c r="W8" s="4" t="e">
        <f>'Project Savings'!$G$146</f>
        <v>#N/A</v>
      </c>
      <c r="X8" s="4" t="e">
        <f>'Incentive Calc'!$H$22+'Incentive Calc'!$H$27</f>
        <v>#N/A</v>
      </c>
      <c r="Y8" s="995" t="e">
        <f>'Incentive Calc'!$F$44</f>
        <v>#DIV/0!</v>
      </c>
      <c r="Z8">
        <f>'User Inputs and Savings'!$C$18</f>
        <v>0</v>
      </c>
    </row>
    <row r="9" spans="1:26">
      <c r="A9">
        <v>6</v>
      </c>
      <c r="B9" t="str">
        <f t="shared" si="4"/>
        <v/>
      </c>
      <c r="C9" t="str">
        <f t="shared" si="5"/>
        <v/>
      </c>
      <c r="D9">
        <f t="shared" si="6"/>
        <v>0</v>
      </c>
      <c r="E9">
        <f t="shared" si="7"/>
        <v>0</v>
      </c>
      <c r="F9" t="str">
        <f t="shared" si="8"/>
        <v>Select Project Type</v>
      </c>
      <c r="G9">
        <f t="shared" si="9"/>
        <v>0</v>
      </c>
      <c r="H9">
        <f>'User Inputs and Savings'!$C$20</f>
        <v>0</v>
      </c>
      <c r="I9">
        <f>'User Inputs and Savings'!$C$21</f>
        <v>0</v>
      </c>
      <c r="J9">
        <f t="shared" si="0"/>
        <v>0</v>
      </c>
      <c r="K9">
        <f t="shared" si="0"/>
        <v>0</v>
      </c>
      <c r="L9">
        <f t="shared" si="0"/>
        <v>0</v>
      </c>
      <c r="M9">
        <f t="shared" si="0"/>
        <v>0</v>
      </c>
      <c r="N9">
        <f t="shared" si="0"/>
        <v>0</v>
      </c>
      <c r="O9">
        <f t="shared" si="0"/>
        <v>0</v>
      </c>
      <c r="P9">
        <f t="shared" si="0"/>
        <v>0</v>
      </c>
      <c r="Q9">
        <f t="shared" si="0"/>
        <v>0</v>
      </c>
      <c r="R9">
        <f t="shared" si="0"/>
        <v>0</v>
      </c>
      <c r="S9">
        <f t="shared" si="3"/>
        <v>0</v>
      </c>
      <c r="T9">
        <f t="shared" si="1"/>
        <v>0</v>
      </c>
      <c r="U9">
        <f t="shared" si="1"/>
        <v>0</v>
      </c>
      <c r="V9" s="4">
        <f>'Project Savings'!$H$144</f>
        <v>0</v>
      </c>
      <c r="W9" s="4" t="e">
        <f>'Project Savings'!$H$146</f>
        <v>#N/A</v>
      </c>
      <c r="X9" s="4" t="e">
        <f>'Incentive Calc'!$I$22+'Incentive Calc'!$I$27</f>
        <v>#N/A</v>
      </c>
      <c r="Y9" s="995" t="e">
        <f>'Incentive Calc'!$F$44</f>
        <v>#DIV/0!</v>
      </c>
      <c r="Z9">
        <f>'User Inputs and Savings'!$C$18</f>
        <v>0</v>
      </c>
    </row>
    <row r="10" spans="1:26">
      <c r="B10" t="str">
        <f t="shared" si="4"/>
        <v/>
      </c>
      <c r="D10">
        <f t="shared" si="6"/>
        <v>0</v>
      </c>
      <c r="E10">
        <f t="shared" si="7"/>
        <v>0</v>
      </c>
      <c r="F10" t="str">
        <f t="shared" si="8"/>
        <v>Select Project Type</v>
      </c>
      <c r="G10">
        <f t="shared" si="9"/>
        <v>0</v>
      </c>
      <c r="H10">
        <f>'User Inputs and Savings'!$C$20</f>
        <v>0</v>
      </c>
      <c r="I10">
        <f>'User Inputs and Savings'!$C$21</f>
        <v>0</v>
      </c>
      <c r="J10">
        <f>SUM(J5:J9)</f>
        <v>0</v>
      </c>
      <c r="K10">
        <f t="shared" ref="K10:R10" si="10">SUM(K5:K9)</f>
        <v>0</v>
      </c>
      <c r="L10">
        <f t="shared" si="10"/>
        <v>0</v>
      </c>
      <c r="M10">
        <f t="shared" si="10"/>
        <v>0</v>
      </c>
      <c r="N10">
        <f t="shared" si="10"/>
        <v>0</v>
      </c>
      <c r="O10">
        <f t="shared" si="10"/>
        <v>0</v>
      </c>
      <c r="P10">
        <f t="shared" si="10"/>
        <v>0</v>
      </c>
      <c r="Q10">
        <f t="shared" si="10"/>
        <v>0</v>
      </c>
      <c r="R10">
        <f t="shared" si="10"/>
        <v>0</v>
      </c>
      <c r="S10">
        <f t="shared" ref="S10" si="11">SUM(S5:S9)</f>
        <v>0</v>
      </c>
      <c r="T10">
        <f t="shared" ref="T10" si="12">SUM(T5:T9)</f>
        <v>0</v>
      </c>
      <c r="U10">
        <f t="shared" ref="U10" si="13">SUM(U5:U9)</f>
        <v>0</v>
      </c>
      <c r="V10">
        <f>'User Inputs and Savings'!C78</f>
        <v>0</v>
      </c>
      <c r="W10">
        <f>'User Inputs and Savings'!C81</f>
        <v>0</v>
      </c>
      <c r="X10" s="4" t="e">
        <f>SUM(X5:X9)</f>
        <v>#N/A</v>
      </c>
      <c r="Y10" s="995" t="e">
        <f>'Incentive Calc'!$F$44</f>
        <v>#DIV/0!</v>
      </c>
      <c r="Z10">
        <f>'User Inputs and Savings'!$C$18</f>
        <v>0</v>
      </c>
    </row>
    <row r="20" spans="1:7">
      <c r="A20" t="s">
        <v>909</v>
      </c>
    </row>
    <row r="21" spans="1:7">
      <c r="C21" t="s">
        <v>910</v>
      </c>
    </row>
    <row r="22" spans="1:7">
      <c r="B22" s="314"/>
      <c r="C22" s="147">
        <v>1</v>
      </c>
      <c r="D22" s="147">
        <v>2</v>
      </c>
      <c r="E22" s="147">
        <v>3</v>
      </c>
      <c r="F22" s="147">
        <v>4</v>
      </c>
      <c r="G22" s="147">
        <v>5</v>
      </c>
    </row>
    <row r="23" spans="1:7" ht="33.6" customHeight="1">
      <c r="B23" s="516" t="s">
        <v>342</v>
      </c>
      <c r="C23" s="328">
        <f>IFERROR('Project Savings'!D135+'Project Savings'!D136,0)</f>
        <v>0</v>
      </c>
      <c r="D23" s="328">
        <f>IFERROR('Project Savings'!E135+'Project Savings'!E136,0)</f>
        <v>0</v>
      </c>
      <c r="E23" s="328">
        <f>IFERROR('Project Savings'!F135+'Project Savings'!F136,0)</f>
        <v>0</v>
      </c>
      <c r="F23" s="328">
        <f>IFERROR('Project Savings'!G135+'Project Savings'!G136,0)</f>
        <v>0</v>
      </c>
      <c r="G23" s="328">
        <f>IFERROR('Project Savings'!H135+'Project Savings'!H136,0)</f>
        <v>0</v>
      </c>
    </row>
    <row r="24" spans="1:7" ht="43.5">
      <c r="B24" s="517" t="s">
        <v>345</v>
      </c>
      <c r="C24" s="328">
        <f>IFERROR('Project Savings'!D$11*(COUNTIF('Project Savings'!D121,"&gt;0"))+'Project Savings'!D$11*(COUNTIF('Project Savings'!D103,"&gt;0")),0)</f>
        <v>0</v>
      </c>
      <c r="D24" s="328">
        <f>IFERROR('Project Savings'!E$11*(COUNTIF('Project Savings'!E121,"&gt;0"))+'Project Savings'!E$11*(COUNTIF('Project Savings'!E103,"&gt;0")),0)</f>
        <v>0</v>
      </c>
      <c r="E24" s="328">
        <f>IFERROR('Project Savings'!F$11*(COUNTIF('Project Savings'!F121,"&gt;0"))+'Project Savings'!F$11*(COUNTIF('Project Savings'!F103,"&gt;0")),0)</f>
        <v>0</v>
      </c>
      <c r="F24" s="328">
        <f>IFERROR('Project Savings'!G$11*(COUNTIF('Project Savings'!G121,"&gt;0"))+'Project Savings'!G$11*(COUNTIF('Project Savings'!G103,"&gt;0")),0)</f>
        <v>0</v>
      </c>
      <c r="G24" s="328">
        <f>IFERROR('Project Savings'!H$11*(COUNTIF('Project Savings'!H121,"&gt;0"))+'Project Savings'!H$11*(COUNTIF('Project Savings'!H103,"&gt;0")),0)</f>
        <v>0</v>
      </c>
    </row>
    <row r="25" spans="1:7" ht="72.599999999999994">
      <c r="B25" s="517" t="s">
        <v>160</v>
      </c>
      <c r="C25" s="328">
        <f>IFERROR('Project Savings'!D$11*(COUNTIF('Project Savings'!D122,"&gt;0"))+'Project Savings'!D$11*(COUNTIF('Project Savings'!D104,"&gt;0")),0)</f>
        <v>0</v>
      </c>
      <c r="D25" s="328">
        <f>IFERROR('Project Savings'!E$11*(COUNTIF('Project Savings'!E122,"&gt;0"))+'Project Savings'!E$11*(COUNTIF('Project Savings'!E104,"&gt;0")),0)</f>
        <v>0</v>
      </c>
      <c r="E25" s="328">
        <f>IFERROR('Project Savings'!F$11*(COUNTIF('Project Savings'!F122,"&gt;0"))+'Project Savings'!F$11*(COUNTIF('Project Savings'!F104,"&gt;0")),0)</f>
        <v>0</v>
      </c>
      <c r="F25" s="328">
        <f>IFERROR('Project Savings'!G$11*(COUNTIF('Project Savings'!G122,"&gt;0"))+'Project Savings'!G$11*(COUNTIF('Project Savings'!G104,"&gt;0")),0)</f>
        <v>0</v>
      </c>
      <c r="G25" s="328">
        <f>IFERROR('Project Savings'!H$11*(COUNTIF('Project Savings'!H122,"&gt;0"))+'Project Savings'!H$11*(COUNTIF('Project Savings'!H104,"&gt;0")),0)</f>
        <v>0</v>
      </c>
    </row>
    <row r="26" spans="1:7" ht="43.5">
      <c r="B26" s="517" t="s">
        <v>175</v>
      </c>
      <c r="C26" s="328">
        <f>IFERROR('Project Savings'!D$11*(COUNTIF('Project Savings'!D123,"&gt;0"))+'Project Savings'!D$11*(COUNTIF('Project Savings'!D105,"&gt;0")),0)</f>
        <v>0</v>
      </c>
      <c r="D26" s="328">
        <f>IFERROR('Project Savings'!E$11*(COUNTIF('Project Savings'!E123,"&gt;0"))+'Project Savings'!E$11*(COUNTIF('Project Savings'!E105,"&gt;0")),0)</f>
        <v>0</v>
      </c>
      <c r="E26" s="328">
        <f>IFERROR('Project Savings'!F$11*(COUNTIF('Project Savings'!F123,"&gt;0"))+'Project Savings'!F$11*(COUNTIF('Project Savings'!F105,"&gt;0")),0)</f>
        <v>0</v>
      </c>
      <c r="F26" s="328">
        <f>IFERROR('Project Savings'!G$11*(COUNTIF('Project Savings'!G123,"&gt;0"))+'Project Savings'!G$11*(COUNTIF('Project Savings'!G105,"&gt;0")),0)</f>
        <v>0</v>
      </c>
      <c r="G26" s="328">
        <f>IFERROR('Project Savings'!H$11*(COUNTIF('Project Savings'!H123,"&gt;0"))+'Project Savings'!H$11*(COUNTIF('Project Savings'!H105,"&gt;0")),0)</f>
        <v>0</v>
      </c>
    </row>
    <row r="27" spans="1:7" ht="72.599999999999994">
      <c r="B27" s="517" t="s">
        <v>151</v>
      </c>
      <c r="C27" s="328">
        <f>IFERROR('Project Savings'!D$11*(COUNTIF('Project Savings'!D124,"&gt;0"))+'Project Savings'!D$11*(COUNTIF('Project Savings'!D106,"&gt;0")),0)</f>
        <v>0</v>
      </c>
      <c r="D27" s="328">
        <f>IFERROR('Project Savings'!E$11*(COUNTIF('Project Savings'!E124,"&gt;0"))+'Project Savings'!E$11*(COUNTIF('Project Savings'!E106,"&gt;0")),0)</f>
        <v>0</v>
      </c>
      <c r="E27" s="328">
        <f>IFERROR('Project Savings'!F$11*(COUNTIF('Project Savings'!F124,"&gt;0"))+'Project Savings'!F$11*(COUNTIF('Project Savings'!F106,"&gt;0")),0)</f>
        <v>0</v>
      </c>
      <c r="F27" s="328">
        <f>IFERROR('Project Savings'!G$11*(COUNTIF('Project Savings'!G124,"&gt;0"))+'Project Savings'!G$11*(COUNTIF('Project Savings'!G106,"&gt;0")),0)</f>
        <v>0</v>
      </c>
      <c r="G27" s="328">
        <f>IFERROR('Project Savings'!H$11*(COUNTIF('Project Savings'!H124,"&gt;0"))+'Project Savings'!H$11*(COUNTIF('Project Savings'!H106,"&gt;0")),0)</f>
        <v>0</v>
      </c>
    </row>
    <row r="28" spans="1:7" ht="57.95">
      <c r="B28" s="517" t="s">
        <v>349</v>
      </c>
      <c r="C28" s="328">
        <f>IFERROR('Project Savings'!D$11*(COUNTIF('Project Savings'!D125,"&gt;0"))+'Project Savings'!D$11*(COUNTIF('Project Savings'!D107,"&gt;0")),)</f>
        <v>0</v>
      </c>
      <c r="D28" s="328">
        <f>IFERROR('Project Savings'!E$11*(COUNTIF('Project Savings'!E125,"&gt;0"))+'Project Savings'!E$11*(COUNTIF('Project Savings'!E107,"&gt;0")),)</f>
        <v>0</v>
      </c>
      <c r="E28" s="328">
        <f>IFERROR('Project Savings'!F$11*(COUNTIF('Project Savings'!F125,"&gt;0"))+'Project Savings'!F$11*(COUNTIF('Project Savings'!F107,"&gt;0")),)</f>
        <v>0</v>
      </c>
      <c r="F28" s="328">
        <f>IFERROR('Project Savings'!G$11*(COUNTIF('Project Savings'!G125,"&gt;0"))+'Project Savings'!G$11*(COUNTIF('Project Savings'!G107,"&gt;0")),)</f>
        <v>0</v>
      </c>
      <c r="G28" s="328">
        <f>IFERROR('Project Savings'!H$11*(COUNTIF('Project Savings'!H125,"&gt;0"))+'Project Savings'!H$11*(COUNTIF('Project Savings'!H107,"&gt;0")),)</f>
        <v>0</v>
      </c>
    </row>
    <row r="29" spans="1:7" ht="87">
      <c r="B29" s="517" t="s">
        <v>177</v>
      </c>
      <c r="C29" s="328">
        <f>IFERROR('Project Savings'!D$11*(COUNTIF('Project Savings'!D126,"&gt;0"))+'Project Savings'!D$11*(COUNTIF('Project Savings'!D108,"&gt;0")),0)</f>
        <v>0</v>
      </c>
      <c r="D29" s="328">
        <f>IFERROR('Project Savings'!E$11*(COUNTIF('Project Savings'!E126,"&gt;0"))+'Project Savings'!E$11*(COUNTIF('Project Savings'!E108,"&gt;0")),0)</f>
        <v>0</v>
      </c>
      <c r="E29" s="328">
        <f>IFERROR('Project Savings'!F$11*(COUNTIF('Project Savings'!F126,"&gt;0"))+'Project Savings'!F$11*(COUNTIF('Project Savings'!F108,"&gt;0")),0)</f>
        <v>0</v>
      </c>
      <c r="F29" s="328">
        <f>IFERROR('Project Savings'!G$11*(COUNTIF('Project Savings'!G126,"&gt;0"))+'Project Savings'!G$11*(COUNTIF('Project Savings'!G108,"&gt;0")),0)</f>
        <v>0</v>
      </c>
      <c r="G29" s="328">
        <f>IFERROR('Project Savings'!H$11*(COUNTIF('Project Savings'!H126,"&gt;0"))+'Project Savings'!H$11*(COUNTIF('Project Savings'!H108,"&gt;0")),0)</f>
        <v>0</v>
      </c>
    </row>
    <row r="30" spans="1:7" ht="101.45">
      <c r="B30" s="517" t="s">
        <v>352</v>
      </c>
      <c r="C30" s="328">
        <f>IFERROR('Project Savings'!D$11*(COUNTIF('Project Savings'!D127,"&gt;0"))+'Project Savings'!D$11*(COUNTIF('Project Savings'!D109,"&gt;0")),0)</f>
        <v>0</v>
      </c>
      <c r="D30" s="328">
        <f>IFERROR('Project Savings'!E$11*(COUNTIF('Project Savings'!E127,"&gt;0"))+'Project Savings'!E$11*(COUNTIF('Project Savings'!E109,"&gt;0")),0)</f>
        <v>0</v>
      </c>
      <c r="E30" s="328">
        <f>IFERROR('Project Savings'!F$11*(COUNTIF('Project Savings'!F127,"&gt;0"))+'Project Savings'!F$11*(COUNTIF('Project Savings'!F109,"&gt;0")),0)</f>
        <v>0</v>
      </c>
      <c r="F30" s="328">
        <f>IFERROR('Project Savings'!G$11*(COUNTIF('Project Savings'!G127,"&gt;0"))+'Project Savings'!G$11*(COUNTIF('Project Savings'!G109,"&gt;0")),0)</f>
        <v>0</v>
      </c>
      <c r="G30" s="328">
        <f>IFERROR('Project Savings'!H$11*(COUNTIF('Project Savings'!H127,"&gt;0"))+'Project Savings'!H$11*(COUNTIF('Project Savings'!H109,"&gt;0")),0)</f>
        <v>0</v>
      </c>
    </row>
    <row r="31" spans="1:7" ht="72.599999999999994">
      <c r="B31" s="517" t="s">
        <v>162</v>
      </c>
      <c r="C31" s="328">
        <f>IFERROR('Project Savings'!D$11*(COUNTIF('Project Savings'!D128,"&gt;0"))+'Project Savings'!D$11*(COUNTIF('Project Savings'!D110,"&gt;0")),0)</f>
        <v>0</v>
      </c>
      <c r="D31" s="328">
        <f>IFERROR('Project Savings'!E$11*(COUNTIF('Project Savings'!E128,"&gt;0"))+'Project Savings'!E$11*(COUNTIF('Project Savings'!E110,"&gt;0")),0)</f>
        <v>0</v>
      </c>
      <c r="E31" s="328">
        <f>IFERROR('Project Savings'!F$11*(COUNTIF('Project Savings'!F128,"&gt;0"))+'Project Savings'!F$11*(COUNTIF('Project Savings'!F110,"&gt;0")),0)</f>
        <v>0</v>
      </c>
      <c r="F31" s="328">
        <f>IFERROR('Project Savings'!G$11*(COUNTIF('Project Savings'!G128,"&gt;0"))+'Project Savings'!G$11*(COUNTIF('Project Savings'!G110,"&gt;0")),0)</f>
        <v>0</v>
      </c>
      <c r="G31" s="328">
        <f>IFERROR('Project Savings'!H$11*(COUNTIF('Project Savings'!H128,"&gt;0"))+'Project Savings'!H$11*(COUNTIF('Project Savings'!H110,"&gt;0")),0)</f>
        <v>0</v>
      </c>
    </row>
    <row r="32" spans="1:7" ht="29.1">
      <c r="B32" s="314" t="s">
        <v>354</v>
      </c>
      <c r="C32">
        <f>'User Inputs and Savings'!C70</f>
        <v>0</v>
      </c>
      <c r="D32">
        <f>'User Inputs and Savings'!D70</f>
        <v>0</v>
      </c>
      <c r="E32">
        <f>'User Inputs and Savings'!E70</f>
        <v>0</v>
      </c>
      <c r="F32">
        <f>'User Inputs and Savings'!F70</f>
        <v>0</v>
      </c>
      <c r="G32">
        <f>'User Inputs and Savings'!G70</f>
        <v>0</v>
      </c>
    </row>
    <row r="33" spans="2:7">
      <c r="B33" s="147" t="s">
        <v>356</v>
      </c>
      <c r="C33">
        <f>'User Inputs and Savings'!C71</f>
        <v>0</v>
      </c>
      <c r="D33">
        <f>'User Inputs and Savings'!D71</f>
        <v>0</v>
      </c>
      <c r="E33">
        <f>'User Inputs and Savings'!E71</f>
        <v>0</v>
      </c>
      <c r="F33">
        <f>'User Inputs and Savings'!F71</f>
        <v>0</v>
      </c>
      <c r="G33">
        <f>'User Inputs and Savings'!G71</f>
        <v>0</v>
      </c>
    </row>
    <row r="34" spans="2:7">
      <c r="B34" s="147" t="s">
        <v>357</v>
      </c>
      <c r="C34">
        <f>'User Inputs and Savings'!C72</f>
        <v>0</v>
      </c>
      <c r="D34">
        <f>'User Inputs and Savings'!D72</f>
        <v>0</v>
      </c>
      <c r="E34">
        <f>'User Inputs and Savings'!E72</f>
        <v>0</v>
      </c>
      <c r="F34">
        <f>'User Inputs and Savings'!F72</f>
        <v>0</v>
      </c>
      <c r="G34">
        <f>'User Inputs and Savings'!G72</f>
        <v>0</v>
      </c>
    </row>
    <row r="35" spans="2:7">
      <c r="C35" s="4">
        <f>SUM(C23:C34)</f>
        <v>0</v>
      </c>
      <c r="D35" s="4">
        <f t="shared" ref="D35:G35" si="14">SUM(D23:D34)</f>
        <v>0</v>
      </c>
      <c r="E35" s="4">
        <f t="shared" si="14"/>
        <v>0</v>
      </c>
      <c r="F35" s="4">
        <f t="shared" si="14"/>
        <v>0</v>
      </c>
      <c r="G35" s="4">
        <f t="shared" si="14"/>
        <v>0</v>
      </c>
    </row>
  </sheetData>
  <mergeCells count="3">
    <mergeCell ref="H3:I3"/>
    <mergeCell ref="J3:R3"/>
    <mergeCell ref="V3:W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0E1D-204F-4CE4-8E3D-1526C7A1EB3E}">
  <sheetPr codeName="Sheet18">
    <tabColor rgb="FFFF0000"/>
  </sheetPr>
  <dimension ref="A1:U120"/>
  <sheetViews>
    <sheetView topLeftCell="D1" workbookViewId="0">
      <selection activeCell="D1" sqref="A1:XFD1048576"/>
    </sheetView>
  </sheetViews>
  <sheetFormatPr defaultColWidth="8.7109375" defaultRowHeight="14.45"/>
  <cols>
    <col min="2" max="2" width="45.42578125" customWidth="1"/>
    <col min="3" max="3" width="11.140625" customWidth="1"/>
    <col min="4" max="4" width="25.28515625" customWidth="1"/>
    <col min="5" max="5" width="28.7109375" customWidth="1"/>
    <col min="6" max="6" width="30.7109375" customWidth="1"/>
    <col min="7" max="7" width="20.7109375" customWidth="1"/>
    <col min="8" max="8" width="25.5703125" customWidth="1"/>
    <col min="9" max="9" width="25.85546875" customWidth="1"/>
  </cols>
  <sheetData>
    <row r="1" spans="1:12">
      <c r="A1" t="s">
        <v>911</v>
      </c>
    </row>
    <row r="2" spans="1:12" ht="27.95" customHeight="1" thickBot="1">
      <c r="A2" t="s">
        <v>912</v>
      </c>
      <c r="D2" s="20"/>
      <c r="E2" s="20"/>
      <c r="F2" s="20"/>
    </row>
    <row r="3" spans="1:12" s="20" customFormat="1" ht="29.1">
      <c r="B3" s="143" t="s">
        <v>913</v>
      </c>
      <c r="C3" s="144" t="s">
        <v>914</v>
      </c>
      <c r="F3"/>
      <c r="G3"/>
      <c r="H3"/>
    </row>
    <row r="4" spans="1:12">
      <c r="B4" s="24" t="s">
        <v>915</v>
      </c>
      <c r="C4" s="471">
        <v>0</v>
      </c>
      <c r="D4" t="s">
        <v>916</v>
      </c>
    </row>
    <row r="5" spans="1:12">
      <c r="B5" s="24" t="s">
        <v>917</v>
      </c>
      <c r="C5" s="471" t="s">
        <v>867</v>
      </c>
    </row>
    <row r="6" spans="1:12" ht="15" thickBot="1">
      <c r="B6" s="145" t="s">
        <v>323</v>
      </c>
      <c r="C6" s="472" t="s">
        <v>868</v>
      </c>
    </row>
    <row r="8" spans="1:12" ht="15" thickBot="1"/>
    <row r="9" spans="1:12">
      <c r="B9" s="143" t="s">
        <v>918</v>
      </c>
      <c r="C9" s="141"/>
      <c r="D9" s="142" t="s">
        <v>919</v>
      </c>
      <c r="E9" s="132" t="s">
        <v>920</v>
      </c>
      <c r="K9" s="151" t="s">
        <v>427</v>
      </c>
    </row>
    <row r="10" spans="1:12">
      <c r="B10" s="24" t="s">
        <v>594</v>
      </c>
      <c r="C10" s="5">
        <v>1</v>
      </c>
      <c r="D10" s="5" t="s">
        <v>801</v>
      </c>
      <c r="E10" s="25" t="s">
        <v>801</v>
      </c>
      <c r="K10" s="151" t="s">
        <v>430</v>
      </c>
      <c r="L10" s="151"/>
    </row>
    <row r="11" spans="1:12">
      <c r="B11" s="24" t="s">
        <v>921</v>
      </c>
      <c r="C11" s="5">
        <v>2</v>
      </c>
      <c r="D11" s="5" t="s">
        <v>922</v>
      </c>
      <c r="E11" s="25" t="s">
        <v>589</v>
      </c>
      <c r="K11" s="151" t="s">
        <v>433</v>
      </c>
      <c r="L11" s="151" t="s">
        <v>434</v>
      </c>
    </row>
    <row r="12" spans="1:12">
      <c r="B12" s="24" t="s">
        <v>923</v>
      </c>
      <c r="C12" s="5">
        <v>3</v>
      </c>
      <c r="D12" s="5" t="s">
        <v>922</v>
      </c>
      <c r="E12" s="25" t="s">
        <v>589</v>
      </c>
      <c r="K12" s="151" t="s">
        <v>436</v>
      </c>
      <c r="L12" s="151" t="s">
        <v>437</v>
      </c>
    </row>
    <row r="13" spans="1:12" ht="15" thickBot="1">
      <c r="B13" s="152" t="s">
        <v>924</v>
      </c>
      <c r="C13" s="69">
        <v>0</v>
      </c>
      <c r="D13" s="70" t="s">
        <v>631</v>
      </c>
      <c r="E13" s="71" t="s">
        <v>631</v>
      </c>
      <c r="K13" s="151" t="s">
        <v>439</v>
      </c>
      <c r="L13" s="151" t="s">
        <v>440</v>
      </c>
    </row>
    <row r="14" spans="1:12" ht="15" thickBot="1">
      <c r="K14" s="151" t="s">
        <v>441</v>
      </c>
    </row>
    <row r="15" spans="1:12">
      <c r="B15" s="131"/>
      <c r="H15" s="5" t="s">
        <v>268</v>
      </c>
      <c r="I15" s="5"/>
    </row>
    <row r="16" spans="1:12">
      <c r="B16" s="24"/>
      <c r="E16" s="462"/>
      <c r="H16" s="5" t="s">
        <v>270</v>
      </c>
      <c r="I16" s="5">
        <v>0</v>
      </c>
    </row>
    <row r="17" spans="2:21" ht="14.45" customHeight="1">
      <c r="B17" s="24"/>
      <c r="E17" s="462"/>
      <c r="H17" s="5" t="s">
        <v>427</v>
      </c>
      <c r="I17" s="5">
        <v>1</v>
      </c>
      <c r="J17" s="929" t="s">
        <v>428</v>
      </c>
      <c r="K17" s="929"/>
      <c r="L17" s="929"/>
      <c r="M17" s="929"/>
      <c r="N17" s="929"/>
      <c r="O17" s="929"/>
      <c r="P17" s="929"/>
      <c r="Q17" s="929"/>
      <c r="R17" s="929"/>
      <c r="S17" s="929"/>
      <c r="T17" s="929"/>
      <c r="U17" s="929"/>
    </row>
    <row r="18" spans="2:21">
      <c r="B18" s="57"/>
      <c r="E18" s="462"/>
      <c r="H18" s="5" t="s">
        <v>325</v>
      </c>
      <c r="I18" s="5">
        <v>2</v>
      </c>
      <c r="J18" t="s">
        <v>925</v>
      </c>
    </row>
    <row r="19" spans="2:21">
      <c r="B19" s="466"/>
      <c r="E19" s="462"/>
      <c r="H19" s="5" t="s">
        <v>365</v>
      </c>
      <c r="I19" s="5">
        <v>3</v>
      </c>
      <c r="J19" t="s">
        <v>926</v>
      </c>
    </row>
    <row r="20" spans="2:21">
      <c r="B20" s="467"/>
      <c r="C20" s="523"/>
      <c r="H20" s="5" t="s">
        <v>441</v>
      </c>
      <c r="I20" s="5">
        <v>4</v>
      </c>
      <c r="J20" s="151" t="s">
        <v>927</v>
      </c>
    </row>
    <row r="22" spans="2:21" ht="15" thickBot="1"/>
    <row r="23" spans="2:21">
      <c r="B23" s="457" t="s">
        <v>928</v>
      </c>
    </row>
    <row r="24" spans="2:21">
      <c r="B24" s="129" t="s">
        <v>929</v>
      </c>
    </row>
    <row r="25" spans="2:21">
      <c r="B25" s="458" t="s">
        <v>230</v>
      </c>
    </row>
    <row r="26" spans="2:21">
      <c r="B26" s="129" t="s">
        <v>930</v>
      </c>
    </row>
    <row r="27" spans="2:21">
      <c r="B27" s="458" t="s">
        <v>931</v>
      </c>
    </row>
    <row r="28" spans="2:21" ht="15" thickBot="1">
      <c r="B28" s="459" t="s">
        <v>932</v>
      </c>
    </row>
    <row r="29" spans="2:21" ht="15" thickBot="1"/>
    <row r="30" spans="2:21">
      <c r="B30" s="460" t="s">
        <v>933</v>
      </c>
    </row>
    <row r="31" spans="2:21">
      <c r="B31" s="458" t="s">
        <v>418</v>
      </c>
    </row>
    <row r="32" spans="2:21">
      <c r="B32" s="129" t="s">
        <v>225</v>
      </c>
    </row>
    <row r="33" spans="1:14">
      <c r="B33" s="458" t="s">
        <v>934</v>
      </c>
    </row>
    <row r="34" spans="1:14">
      <c r="B34" s="129" t="s">
        <v>935</v>
      </c>
    </row>
    <row r="35" spans="1:14">
      <c r="B35" s="129" t="s">
        <v>936</v>
      </c>
    </row>
    <row r="36" spans="1:14">
      <c r="B36" s="458" t="s">
        <v>937</v>
      </c>
    </row>
    <row r="37" spans="1:14" ht="15" thickBot="1">
      <c r="B37" s="459" t="s">
        <v>938</v>
      </c>
    </row>
    <row r="39" spans="1:14" ht="15" thickBot="1">
      <c r="A39" t="s">
        <v>939</v>
      </c>
    </row>
    <row r="40" spans="1:14" s="20" customFormat="1" ht="87">
      <c r="B40" s="1051" t="s">
        <v>940</v>
      </c>
      <c r="C40" s="1052" t="s">
        <v>941</v>
      </c>
      <c r="D40" s="1052" t="s">
        <v>942</v>
      </c>
      <c r="E40" s="1052" t="s">
        <v>943</v>
      </c>
      <c r="F40" s="1052" t="s">
        <v>944</v>
      </c>
      <c r="G40" s="1052" t="s">
        <v>945</v>
      </c>
      <c r="H40" s="1052" t="s">
        <v>946</v>
      </c>
      <c r="I40" s="1052" t="s">
        <v>947</v>
      </c>
      <c r="J40" s="1052" t="s">
        <v>948</v>
      </c>
      <c r="K40" s="1053" t="s">
        <v>949</v>
      </c>
    </row>
    <row r="41" spans="1:14">
      <c r="B41" s="1054" t="s">
        <v>950</v>
      </c>
      <c r="C41" s="408" t="s">
        <v>951</v>
      </c>
      <c r="D41" s="408" t="s">
        <v>952</v>
      </c>
      <c r="E41" s="408" t="s">
        <v>953</v>
      </c>
      <c r="F41" s="408" t="s">
        <v>954</v>
      </c>
      <c r="G41" s="408" t="s">
        <v>955</v>
      </c>
      <c r="H41" s="408" t="s">
        <v>956</v>
      </c>
      <c r="I41" s="408" t="s">
        <v>957</v>
      </c>
      <c r="J41" s="408" t="s">
        <v>958</v>
      </c>
      <c r="K41" s="1055" t="s">
        <v>959</v>
      </c>
    </row>
    <row r="42" spans="1:14" ht="11.45" customHeight="1" thickBot="1">
      <c r="B42" s="1056" t="s">
        <v>960</v>
      </c>
      <c r="C42" s="1057" t="s">
        <v>961</v>
      </c>
      <c r="D42" s="1057" t="s">
        <v>962</v>
      </c>
      <c r="E42" s="1057" t="s">
        <v>963</v>
      </c>
      <c r="F42" s="1057" t="s">
        <v>964</v>
      </c>
      <c r="G42" s="1057" t="s">
        <v>965</v>
      </c>
      <c r="H42" s="1057" t="s">
        <v>966</v>
      </c>
      <c r="I42" s="1057" t="s">
        <v>967</v>
      </c>
      <c r="J42" s="1057" t="s">
        <v>968</v>
      </c>
      <c r="K42" s="1058" t="s">
        <v>969</v>
      </c>
    </row>
    <row r="45" spans="1:14" ht="26.1">
      <c r="B45" s="150" t="s">
        <v>970</v>
      </c>
      <c r="C45" s="147"/>
      <c r="D45" s="544"/>
      <c r="E45" s="544"/>
      <c r="F45" s="544"/>
      <c r="G45" s="544"/>
      <c r="H45" s="544"/>
      <c r="I45" s="544"/>
      <c r="J45" s="544"/>
      <c r="K45" s="544"/>
      <c r="L45" s="545"/>
      <c r="M45" s="545"/>
      <c r="N45" s="546"/>
    </row>
    <row r="46" spans="1:14">
      <c r="B46" s="147" t="s">
        <v>971</v>
      </c>
      <c r="C46" s="147"/>
      <c r="D46" s="147"/>
      <c r="E46" s="147"/>
      <c r="F46" s="147"/>
      <c r="G46" s="147"/>
      <c r="H46" s="147"/>
      <c r="I46" s="147"/>
      <c r="J46" s="147"/>
      <c r="K46" s="147"/>
      <c r="L46" s="147"/>
      <c r="M46" s="540"/>
      <c r="N46" s="147"/>
    </row>
    <row r="47" spans="1:14">
      <c r="B47" s="147" t="s">
        <v>972</v>
      </c>
      <c r="C47" s="147"/>
      <c r="D47" s="147"/>
      <c r="E47" s="147"/>
      <c r="F47" s="147"/>
      <c r="G47" s="147"/>
      <c r="H47" s="147"/>
      <c r="I47" s="147"/>
      <c r="J47" s="147"/>
      <c r="K47" s="147"/>
      <c r="L47" s="147"/>
      <c r="M47" s="540"/>
      <c r="N47" s="147"/>
    </row>
    <row r="48" spans="1:14">
      <c r="B48" s="147" t="s">
        <v>973</v>
      </c>
      <c r="C48" s="147"/>
      <c r="D48" s="147"/>
      <c r="E48" s="147"/>
      <c r="F48" s="147"/>
      <c r="G48" s="147"/>
      <c r="H48" s="147"/>
      <c r="I48" s="147"/>
      <c r="J48" s="147"/>
      <c r="K48" s="147"/>
      <c r="L48" s="147"/>
      <c r="M48" s="540"/>
      <c r="N48" s="147"/>
    </row>
    <row r="49" spans="2:14" ht="15" thickBot="1">
      <c r="B49" s="147" t="s">
        <v>974</v>
      </c>
      <c r="C49" s="147"/>
      <c r="D49" s="147"/>
      <c r="E49" s="147"/>
      <c r="F49" s="147"/>
      <c r="G49" s="147"/>
      <c r="H49" s="147"/>
      <c r="I49" s="147"/>
      <c r="J49" s="147"/>
      <c r="K49" s="147"/>
      <c r="L49" s="147"/>
      <c r="M49" s="540"/>
      <c r="N49" s="147"/>
    </row>
    <row r="50" spans="2:14" ht="15" thickBot="1">
      <c r="B50" s="1017"/>
      <c r="C50" s="1018"/>
      <c r="D50" s="64" t="s">
        <v>975</v>
      </c>
      <c r="E50" s="64" t="s">
        <v>976</v>
      </c>
      <c r="F50" s="64" t="s">
        <v>977</v>
      </c>
      <c r="G50" s="1019" t="s">
        <v>978</v>
      </c>
      <c r="H50" s="65" t="s">
        <v>979</v>
      </c>
      <c r="K50" s="540"/>
      <c r="L50" s="147"/>
      <c r="M50" s="147"/>
      <c r="N50" s="147"/>
    </row>
    <row r="51" spans="2:14">
      <c r="B51" s="1828" t="s">
        <v>980</v>
      </c>
      <c r="C51" s="1829"/>
      <c r="D51" s="658" t="s">
        <v>981</v>
      </c>
      <c r="E51" s="664" t="s">
        <v>835</v>
      </c>
      <c r="F51" s="664" t="s">
        <v>840</v>
      </c>
      <c r="G51" s="659" t="s">
        <v>982</v>
      </c>
      <c r="H51" s="665" t="s">
        <v>983</v>
      </c>
      <c r="J51" s="654"/>
      <c r="K51" s="468"/>
    </row>
    <row r="52" spans="2:14">
      <c r="B52" s="1828"/>
      <c r="C52" s="1829"/>
      <c r="D52" s="27" t="s">
        <v>984</v>
      </c>
      <c r="E52" s="656" t="s">
        <v>331</v>
      </c>
      <c r="F52" s="656" t="s">
        <v>331</v>
      </c>
      <c r="G52" s="656" t="s">
        <v>331</v>
      </c>
      <c r="H52" s="666" t="s">
        <v>199</v>
      </c>
      <c r="J52" s="654"/>
      <c r="K52" s="468"/>
      <c r="L52" s="147"/>
      <c r="M52" s="147"/>
      <c r="N52" s="147"/>
    </row>
    <row r="53" spans="2:14">
      <c r="B53" s="1828"/>
      <c r="C53" s="1829"/>
      <c r="D53" s="28"/>
      <c r="E53" s="1014" t="s">
        <v>201</v>
      </c>
      <c r="F53" s="1023" t="s">
        <v>199</v>
      </c>
      <c r="G53" s="5"/>
      <c r="H53" s="666" t="s">
        <v>849</v>
      </c>
      <c r="J53" s="654"/>
      <c r="K53" s="540"/>
      <c r="L53" s="147"/>
      <c r="M53" s="147"/>
      <c r="N53" s="147"/>
    </row>
    <row r="54" spans="2:14">
      <c r="B54" s="1828"/>
      <c r="C54" s="1829"/>
      <c r="D54" s="28"/>
      <c r="E54" s="656" t="s">
        <v>202</v>
      </c>
      <c r="F54" s="656"/>
      <c r="G54" s="518"/>
      <c r="H54" s="666" t="s">
        <v>201</v>
      </c>
      <c r="J54" s="654"/>
      <c r="K54" s="540"/>
      <c r="L54" s="147"/>
      <c r="M54" s="147"/>
      <c r="N54" s="147"/>
    </row>
    <row r="55" spans="2:14">
      <c r="B55" s="1828"/>
      <c r="C55" s="1829"/>
      <c r="D55" s="28"/>
      <c r="E55" s="656" t="s">
        <v>203</v>
      </c>
      <c r="F55" s="656"/>
      <c r="G55" s="518"/>
      <c r="H55" s="666" t="s">
        <v>202</v>
      </c>
      <c r="J55" s="654"/>
      <c r="K55" s="540"/>
      <c r="L55" s="147"/>
      <c r="M55" s="147"/>
      <c r="N55" s="147"/>
    </row>
    <row r="56" spans="2:14">
      <c r="B56" s="1828"/>
      <c r="C56" s="1829"/>
      <c r="D56" s="28"/>
      <c r="E56" s="656" t="s">
        <v>204</v>
      </c>
      <c r="F56" s="518"/>
      <c r="G56" s="518"/>
      <c r="H56" s="666" t="s">
        <v>203</v>
      </c>
      <c r="J56" s="654"/>
      <c r="K56" s="540"/>
      <c r="L56" s="147"/>
      <c r="M56" s="147"/>
      <c r="N56" s="147"/>
    </row>
    <row r="57" spans="2:14">
      <c r="B57" s="1828"/>
      <c r="C57" s="1829"/>
      <c r="D57" s="28"/>
      <c r="E57" s="151" t="s">
        <v>205</v>
      </c>
      <c r="F57" s="518"/>
      <c r="G57" s="518"/>
      <c r="H57" s="666" t="s">
        <v>204</v>
      </c>
      <c r="J57" s="654"/>
      <c r="K57" s="540"/>
      <c r="L57" s="147"/>
      <c r="M57" s="147"/>
      <c r="N57" s="147"/>
    </row>
    <row r="58" spans="2:14">
      <c r="B58" s="1828"/>
      <c r="C58" s="1829"/>
      <c r="D58" s="28"/>
      <c r="E58" s="403" t="s">
        <v>207</v>
      </c>
      <c r="F58" s="657"/>
      <c r="G58" s="657"/>
      <c r="H58" s="666" t="s">
        <v>205</v>
      </c>
      <c r="J58" s="654"/>
      <c r="K58" s="540"/>
      <c r="L58" s="147"/>
      <c r="M58" s="147"/>
      <c r="N58" s="147"/>
    </row>
    <row r="59" spans="2:14">
      <c r="B59" s="1828"/>
      <c r="C59" s="1829"/>
      <c r="D59" s="28"/>
      <c r="E59" s="1022" t="s">
        <v>208</v>
      </c>
      <c r="F59" s="657"/>
      <c r="G59" s="657"/>
      <c r="H59" s="666" t="s">
        <v>207</v>
      </c>
      <c r="J59" s="654"/>
      <c r="K59" s="540"/>
      <c r="L59" s="147"/>
      <c r="M59" s="147"/>
      <c r="N59" s="147"/>
    </row>
    <row r="60" spans="2:14">
      <c r="B60" s="1828"/>
      <c r="C60" s="1829"/>
      <c r="D60" s="28"/>
      <c r="E60" s="657"/>
      <c r="F60" s="657"/>
      <c r="G60" s="657"/>
      <c r="H60" s="666" t="s">
        <v>208</v>
      </c>
      <c r="J60" s="654"/>
      <c r="K60" s="540"/>
      <c r="L60" s="147"/>
      <c r="M60" s="147"/>
      <c r="N60" s="147"/>
    </row>
    <row r="61" spans="2:14" ht="15" thickBot="1">
      <c r="B61" s="1830"/>
      <c r="C61" s="1831"/>
      <c r="D61" s="667"/>
      <c r="E61" s="662"/>
      <c r="F61" s="662"/>
      <c r="G61" s="662"/>
      <c r="H61" s="668" t="s">
        <v>331</v>
      </c>
      <c r="J61" s="654"/>
      <c r="K61" s="540"/>
      <c r="L61" s="147"/>
      <c r="M61" s="147"/>
      <c r="N61" s="147"/>
    </row>
    <row r="62" spans="2:14" ht="15" thickBot="1">
      <c r="B62" s="147"/>
      <c r="C62" s="147"/>
      <c r="D62" s="147"/>
      <c r="E62" s="147"/>
      <c r="F62" s="147"/>
      <c r="G62" s="147"/>
      <c r="H62" s="147"/>
      <c r="I62" s="147"/>
      <c r="J62" s="147"/>
      <c r="K62" s="147"/>
      <c r="L62" s="147"/>
      <c r="M62" s="540"/>
      <c r="N62" s="147"/>
    </row>
    <row r="63" spans="2:14">
      <c r="B63" s="1017"/>
      <c r="C63" s="658"/>
      <c r="D63" s="658" t="s">
        <v>981</v>
      </c>
      <c r="E63" s="1020" t="s">
        <v>851</v>
      </c>
      <c r="F63" s="1021" t="s">
        <v>853</v>
      </c>
      <c r="G63" s="1024" t="s">
        <v>848</v>
      </c>
      <c r="H63" s="660" t="s">
        <v>850</v>
      </c>
      <c r="I63" s="132" t="s">
        <v>845</v>
      </c>
      <c r="J63" s="654"/>
      <c r="K63" s="540"/>
      <c r="L63" s="147"/>
      <c r="M63" s="147"/>
      <c r="N63" s="147"/>
    </row>
    <row r="64" spans="2:14" ht="29.1">
      <c r="B64" s="1828" t="s">
        <v>985</v>
      </c>
      <c r="C64" s="1832"/>
      <c r="D64" t="s">
        <v>986</v>
      </c>
      <c r="E64" s="655" t="s">
        <v>827</v>
      </c>
      <c r="F64" s="655" t="s">
        <v>181</v>
      </c>
      <c r="G64" s="655" t="s">
        <v>180</v>
      </c>
      <c r="H64" s="655" t="s">
        <v>180</v>
      </c>
      <c r="I64" s="25" t="s">
        <v>180</v>
      </c>
      <c r="J64" s="654"/>
      <c r="K64" s="540"/>
      <c r="L64" s="147"/>
      <c r="M64" s="147"/>
      <c r="N64" s="147"/>
    </row>
    <row r="65" spans="2:14">
      <c r="B65" s="1828"/>
      <c r="C65" s="1832"/>
      <c r="E65" s="656" t="s">
        <v>331</v>
      </c>
      <c r="F65" s="656" t="s">
        <v>182</v>
      </c>
      <c r="G65" s="656" t="s">
        <v>181</v>
      </c>
      <c r="H65" s="656" t="s">
        <v>181</v>
      </c>
      <c r="I65" s="25" t="s">
        <v>181</v>
      </c>
      <c r="J65" s="654"/>
      <c r="K65" s="540"/>
      <c r="L65" s="147"/>
      <c r="M65" s="147"/>
      <c r="N65" s="147"/>
    </row>
    <row r="66" spans="2:14">
      <c r="B66" s="1828"/>
      <c r="C66" s="1832"/>
      <c r="E66" s="1015"/>
      <c r="F66" s="656" t="s">
        <v>827</v>
      </c>
      <c r="G66" s="656" t="s">
        <v>182</v>
      </c>
      <c r="H66" s="656" t="s">
        <v>182</v>
      </c>
      <c r="I66" s="25" t="s">
        <v>182</v>
      </c>
      <c r="J66" s="654"/>
      <c r="K66" s="540"/>
      <c r="L66" s="147"/>
      <c r="M66" s="147"/>
      <c r="N66" s="147"/>
    </row>
    <row r="67" spans="2:14">
      <c r="B67" s="1828"/>
      <c r="C67" s="1832"/>
      <c r="E67" s="1015"/>
      <c r="F67" s="656" t="s">
        <v>331</v>
      </c>
      <c r="G67" s="656" t="s">
        <v>185</v>
      </c>
      <c r="H67" s="656" t="s">
        <v>183</v>
      </c>
      <c r="I67" s="25" t="s">
        <v>183</v>
      </c>
      <c r="J67" s="654"/>
      <c r="K67" s="540"/>
      <c r="L67" s="147"/>
      <c r="M67" s="147"/>
      <c r="N67" s="147"/>
    </row>
    <row r="68" spans="2:14">
      <c r="B68" s="1828"/>
      <c r="C68" s="1832"/>
      <c r="E68" s="1015"/>
      <c r="F68" s="1015"/>
      <c r="G68" s="656" t="s">
        <v>331</v>
      </c>
      <c r="H68" s="656" t="s">
        <v>184</v>
      </c>
      <c r="I68" s="25" t="s">
        <v>184</v>
      </c>
      <c r="J68" s="654"/>
      <c r="K68" s="540"/>
      <c r="L68" s="147"/>
      <c r="M68" s="147"/>
      <c r="N68" s="147"/>
    </row>
    <row r="69" spans="2:14">
      <c r="B69" s="1828"/>
      <c r="C69" s="1832"/>
      <c r="E69" s="1015"/>
      <c r="F69" s="1015"/>
      <c r="G69" s="1015"/>
      <c r="H69" t="s">
        <v>827</v>
      </c>
      <c r="I69" s="25" t="s">
        <v>185</v>
      </c>
      <c r="J69" s="654"/>
      <c r="K69" s="540"/>
      <c r="L69" s="147"/>
      <c r="M69" s="147"/>
      <c r="N69" s="147"/>
    </row>
    <row r="70" spans="2:14">
      <c r="B70" s="1828"/>
      <c r="C70" s="1832"/>
      <c r="E70" s="1015"/>
      <c r="F70" s="1015"/>
      <c r="G70" s="1015"/>
      <c r="H70" s="656" t="s">
        <v>331</v>
      </c>
      <c r="I70" s="25" t="s">
        <v>827</v>
      </c>
      <c r="J70" s="654"/>
      <c r="K70" s="540"/>
      <c r="L70" s="147"/>
      <c r="M70" s="147"/>
      <c r="N70" s="147"/>
    </row>
    <row r="71" spans="2:14">
      <c r="B71" s="1828"/>
      <c r="C71" s="1832"/>
      <c r="E71" s="1015"/>
      <c r="F71" s="1015"/>
      <c r="G71" s="1015"/>
      <c r="H71" s="1015"/>
      <c r="I71" s="25" t="s">
        <v>331</v>
      </c>
      <c r="J71" s="654"/>
      <c r="K71" s="540"/>
      <c r="L71" s="147"/>
      <c r="M71" s="147"/>
      <c r="N71" s="147"/>
    </row>
    <row r="72" spans="2:14">
      <c r="B72" s="1828"/>
      <c r="C72" s="1832"/>
      <c r="E72" s="1015"/>
      <c r="F72" s="1015"/>
      <c r="G72" s="1015"/>
      <c r="H72" s="1015"/>
      <c r="I72" s="661"/>
      <c r="J72" s="654"/>
      <c r="K72" s="540"/>
      <c r="L72" s="147"/>
      <c r="M72" s="147"/>
      <c r="N72" s="147"/>
    </row>
    <row r="73" spans="2:14">
      <c r="B73" s="1828"/>
      <c r="C73" s="1832"/>
      <c r="E73" s="1015"/>
      <c r="F73" s="1015"/>
      <c r="G73" s="1015"/>
      <c r="H73" s="1015"/>
      <c r="I73" s="661"/>
      <c r="J73" s="654"/>
      <c r="K73" s="540"/>
      <c r="L73" s="147"/>
      <c r="M73" s="147"/>
      <c r="N73" s="147"/>
    </row>
    <row r="74" spans="2:14" ht="15" thickBot="1">
      <c r="B74" s="1830"/>
      <c r="C74" s="1833"/>
      <c r="D74" s="1025"/>
      <c r="E74" s="1016"/>
      <c r="F74" s="1016"/>
      <c r="G74" s="1016"/>
      <c r="H74" s="1026"/>
      <c r="I74" s="663"/>
      <c r="J74" s="654"/>
      <c r="K74" s="540"/>
      <c r="L74" s="147"/>
      <c r="M74" s="147"/>
      <c r="N74" s="147"/>
    </row>
    <row r="75" spans="2:14" ht="15" thickBot="1">
      <c r="B75" s="147"/>
      <c r="C75" s="147"/>
      <c r="D75" s="147"/>
      <c r="E75" s="147"/>
      <c r="F75" s="147"/>
      <c r="G75" s="147"/>
      <c r="H75" s="147"/>
      <c r="I75" s="147"/>
      <c r="J75" s="147"/>
      <c r="K75" s="147"/>
      <c r="L75" s="147"/>
      <c r="M75" s="540"/>
      <c r="N75" s="147"/>
    </row>
    <row r="76" spans="2:14">
      <c r="B76" s="1834" t="s">
        <v>987</v>
      </c>
      <c r="C76" s="1835"/>
      <c r="D76" s="658" t="s">
        <v>981</v>
      </c>
      <c r="E76" s="1020" t="s">
        <v>852</v>
      </c>
      <c r="F76" s="1027" t="s">
        <v>833</v>
      </c>
      <c r="G76" s="1028"/>
      <c r="H76" s="1029"/>
      <c r="J76" s="654"/>
      <c r="K76" s="468"/>
      <c r="L76" s="147"/>
      <c r="M76" s="147"/>
      <c r="N76" s="147"/>
    </row>
    <row r="77" spans="2:14" ht="29.1">
      <c r="B77" s="1836"/>
      <c r="C77" s="1837"/>
      <c r="D77" t="s">
        <v>986</v>
      </c>
      <c r="E77" s="655" t="s">
        <v>188</v>
      </c>
      <c r="F77" s="655" t="s">
        <v>188</v>
      </c>
      <c r="J77" s="654"/>
      <c r="K77" s="468"/>
      <c r="L77" s="147"/>
      <c r="M77" s="147"/>
      <c r="N77" s="147"/>
    </row>
    <row r="78" spans="2:14">
      <c r="B78" s="1836"/>
      <c r="C78" s="1837"/>
      <c r="E78" s="656" t="s">
        <v>331</v>
      </c>
      <c r="F78" s="666" t="s">
        <v>189</v>
      </c>
      <c r="J78" s="654"/>
      <c r="K78" s="468"/>
      <c r="L78" s="147"/>
      <c r="M78" s="147"/>
      <c r="N78" s="147"/>
    </row>
    <row r="79" spans="2:14" ht="15" thickBot="1">
      <c r="B79" s="1838"/>
      <c r="C79" s="1839"/>
      <c r="D79" s="1025"/>
      <c r="E79" s="1016"/>
      <c r="F79" s="668" t="s">
        <v>331</v>
      </c>
      <c r="J79" s="654"/>
      <c r="K79" s="468"/>
      <c r="L79" s="147"/>
      <c r="M79" s="147"/>
      <c r="N79" s="147"/>
    </row>
    <row r="80" spans="2:14">
      <c r="B80" s="339"/>
      <c r="C80" s="339"/>
      <c r="E80" s="654"/>
      <c r="F80" s="654"/>
      <c r="J80" s="654"/>
      <c r="K80" s="468"/>
      <c r="L80" s="147"/>
      <c r="M80" s="147"/>
      <c r="N80" s="147"/>
    </row>
    <row r="81" spans="1:14">
      <c r="E81" s="654"/>
      <c r="J81" s="654"/>
      <c r="K81" s="468"/>
      <c r="L81" s="147"/>
      <c r="M81" s="147"/>
      <c r="N81" s="147"/>
    </row>
    <row r="82" spans="1:14">
      <c r="E82" s="654"/>
      <c r="J82" s="654"/>
      <c r="K82" s="468"/>
      <c r="L82" s="147"/>
      <c r="M82" s="147"/>
      <c r="N82" s="147"/>
    </row>
    <row r="83" spans="1:14">
      <c r="E83" s="654"/>
      <c r="J83" s="654"/>
      <c r="K83" s="468"/>
      <c r="L83" s="147"/>
      <c r="M83" s="147"/>
      <c r="N83" s="147"/>
    </row>
    <row r="84" spans="1:14">
      <c r="E84" s="654"/>
      <c r="J84" s="654"/>
      <c r="K84" s="468"/>
      <c r="L84" s="147"/>
      <c r="M84" s="147"/>
      <c r="N84" s="147"/>
    </row>
    <row r="85" spans="1:14">
      <c r="E85" s="654"/>
      <c r="J85" s="654"/>
      <c r="K85" s="468"/>
      <c r="L85" s="147"/>
      <c r="M85" s="147"/>
      <c r="N85" s="147"/>
    </row>
    <row r="86" spans="1:14">
      <c r="E86" s="654"/>
      <c r="J86" s="654"/>
      <c r="K86" s="468"/>
      <c r="L86" s="147"/>
      <c r="M86" s="147"/>
      <c r="N86" s="147"/>
    </row>
    <row r="87" spans="1:14">
      <c r="E87" s="654"/>
      <c r="J87" s="654"/>
      <c r="K87" s="468"/>
      <c r="L87" s="147"/>
      <c r="M87" s="147"/>
      <c r="N87" s="147"/>
    </row>
    <row r="88" spans="1:14">
      <c r="E88" s="654"/>
      <c r="J88" s="654"/>
      <c r="K88" s="540"/>
      <c r="L88" s="147"/>
      <c r="M88" s="147"/>
      <c r="N88" s="147"/>
    </row>
    <row r="89" spans="1:14">
      <c r="I89" s="654"/>
      <c r="J89" s="654"/>
      <c r="K89" s="540"/>
      <c r="L89" s="147"/>
      <c r="M89" s="147"/>
      <c r="N89" s="147"/>
    </row>
    <row r="90" spans="1:14">
      <c r="I90" s="654"/>
      <c r="J90" s="654"/>
      <c r="K90" s="540"/>
      <c r="L90" s="147"/>
      <c r="M90" s="147"/>
      <c r="N90" s="147"/>
    </row>
    <row r="91" spans="1:14">
      <c r="I91" s="654"/>
      <c r="J91" s="654"/>
      <c r="K91" s="540"/>
      <c r="L91" s="147"/>
      <c r="M91" s="147"/>
      <c r="N91" s="147"/>
    </row>
    <row r="92" spans="1:14">
      <c r="I92" s="654"/>
      <c r="J92" s="654"/>
      <c r="K92" s="540"/>
      <c r="L92" s="147"/>
      <c r="M92" s="147"/>
      <c r="N92" s="147"/>
    </row>
    <row r="93" spans="1:14">
      <c r="I93" s="654"/>
      <c r="J93" s="654"/>
      <c r="K93" s="540"/>
      <c r="L93" s="147"/>
      <c r="M93" s="147"/>
      <c r="N93" s="147"/>
    </row>
    <row r="94" spans="1:14">
      <c r="A94" s="147"/>
      <c r="B94" s="147"/>
      <c r="K94" s="540"/>
      <c r="L94" s="147"/>
      <c r="M94" s="147"/>
      <c r="N94" s="147"/>
    </row>
    <row r="95" spans="1:14">
      <c r="A95" s="147"/>
      <c r="B95" s="147"/>
      <c r="K95" s="540"/>
      <c r="L95" s="147"/>
      <c r="M95" s="147"/>
      <c r="N95" s="147"/>
    </row>
    <row r="96" spans="1:14">
      <c r="A96" s="147"/>
      <c r="B96" s="147"/>
      <c r="D96" s="3" t="s">
        <v>988</v>
      </c>
      <c r="E96" s="3" t="s">
        <v>989</v>
      </c>
      <c r="F96" s="3" t="s">
        <v>990</v>
      </c>
      <c r="G96" s="3" t="s">
        <v>991</v>
      </c>
      <c r="H96" s="3" t="s">
        <v>992</v>
      </c>
      <c r="K96" s="540"/>
      <c r="L96" s="147"/>
      <c r="M96" s="147"/>
      <c r="N96" s="147"/>
    </row>
    <row r="97" spans="1:14">
      <c r="A97" s="543"/>
      <c r="B97" s="1030"/>
      <c r="D97" t="s">
        <v>993</v>
      </c>
      <c r="E97" t="s">
        <v>331</v>
      </c>
      <c r="F97" t="s">
        <v>331</v>
      </c>
      <c r="G97" t="s">
        <v>331</v>
      </c>
      <c r="H97" t="s">
        <v>331</v>
      </c>
      <c r="K97" s="540"/>
      <c r="L97" s="147"/>
      <c r="M97" s="147"/>
      <c r="N97" s="147"/>
    </row>
    <row r="98" spans="1:14">
      <c r="A98" s="1031"/>
      <c r="B98" s="1030"/>
      <c r="E98" t="s">
        <v>989</v>
      </c>
      <c r="F98" t="s">
        <v>990</v>
      </c>
      <c r="G98" t="s">
        <v>189</v>
      </c>
      <c r="H98" t="s">
        <v>994</v>
      </c>
      <c r="K98" s="540"/>
      <c r="L98" s="147"/>
      <c r="M98" s="147"/>
      <c r="N98" s="147"/>
    </row>
    <row r="99" spans="1:14">
      <c r="A99" s="1031"/>
      <c r="B99" s="1030"/>
      <c r="H99" t="s">
        <v>189</v>
      </c>
      <c r="K99" s="540"/>
      <c r="L99" s="147"/>
      <c r="M99" s="147"/>
      <c r="N99" s="147"/>
    </row>
    <row r="100" spans="1:14">
      <c r="A100" s="543"/>
      <c r="B100" s="1030"/>
      <c r="K100" s="540"/>
      <c r="L100" s="147"/>
      <c r="M100" s="147"/>
      <c r="N100" s="147"/>
    </row>
    <row r="101" spans="1:14">
      <c r="A101" s="543"/>
      <c r="B101" s="1030"/>
      <c r="K101" s="540"/>
      <c r="L101" s="147"/>
      <c r="M101" s="147"/>
      <c r="N101" s="147"/>
    </row>
    <row r="102" spans="1:14">
      <c r="A102" s="543"/>
      <c r="B102" s="1030"/>
      <c r="C102" s="147"/>
      <c r="D102" s="147"/>
      <c r="E102" s="147"/>
      <c r="F102" s="147"/>
      <c r="G102" s="147"/>
      <c r="H102" s="147"/>
      <c r="I102" s="147"/>
      <c r="J102" s="147"/>
      <c r="K102" s="540"/>
      <c r="L102" s="147"/>
      <c r="M102" s="147"/>
      <c r="N102" s="147"/>
    </row>
    <row r="103" spans="1:14">
      <c r="A103" s="543"/>
      <c r="B103" s="1030"/>
      <c r="C103" s="147"/>
      <c r="D103" s="147"/>
      <c r="E103" s="147"/>
      <c r="F103" s="147"/>
      <c r="G103" s="147"/>
      <c r="H103" s="147"/>
      <c r="I103" s="147"/>
      <c r="J103" s="540"/>
      <c r="K103" s="147"/>
      <c r="L103" s="147"/>
      <c r="M103" s="147"/>
      <c r="N103" s="147"/>
    </row>
    <row r="104" spans="1:14">
      <c r="A104" s="543"/>
      <c r="B104" s="1030"/>
      <c r="C104" s="147"/>
      <c r="D104" s="147"/>
      <c r="E104" s="147"/>
      <c r="F104" s="147"/>
      <c r="G104" s="147"/>
      <c r="H104" s="147"/>
      <c r="I104" s="147"/>
      <c r="J104" s="540"/>
      <c r="K104" s="147"/>
      <c r="L104" s="147"/>
      <c r="M104" s="147"/>
      <c r="N104" s="147"/>
    </row>
    <row r="105" spans="1:14">
      <c r="A105" s="543"/>
      <c r="B105" s="1030"/>
    </row>
    <row r="106" spans="1:14">
      <c r="A106" s="543"/>
      <c r="B106" s="1030"/>
    </row>
    <row r="107" spans="1:14">
      <c r="A107" s="543"/>
      <c r="B107" s="1030"/>
    </row>
    <row r="108" spans="1:14">
      <c r="A108" s="543"/>
      <c r="B108" s="1030"/>
    </row>
    <row r="109" spans="1:14">
      <c r="A109" s="543"/>
      <c r="B109" s="1032"/>
    </row>
    <row r="110" spans="1:14">
      <c r="A110" s="543"/>
      <c r="B110" s="1032"/>
    </row>
    <row r="111" spans="1:14">
      <c r="A111" s="543"/>
      <c r="B111" s="1032"/>
    </row>
    <row r="112" spans="1:14">
      <c r="A112" s="543"/>
      <c r="B112" s="1032"/>
    </row>
    <row r="113" spans="1:2">
      <c r="A113" s="543"/>
      <c r="B113" s="1032"/>
    </row>
    <row r="114" spans="1:2">
      <c r="A114" s="543"/>
      <c r="B114" s="1032"/>
    </row>
    <row r="115" spans="1:2">
      <c r="A115" s="147"/>
      <c r="B115" s="147"/>
    </row>
    <row r="116" spans="1:2">
      <c r="A116" s="147"/>
      <c r="B116" s="147"/>
    </row>
    <row r="117" spans="1:2">
      <c r="A117" s="147"/>
      <c r="B117" s="147"/>
    </row>
    <row r="118" spans="1:2">
      <c r="A118" s="147"/>
      <c r="B118" s="147"/>
    </row>
    <row r="119" spans="1:2">
      <c r="A119" s="147"/>
      <c r="B119" s="147"/>
    </row>
    <row r="120" spans="1:2">
      <c r="A120" s="147"/>
      <c r="B120" s="147"/>
    </row>
  </sheetData>
  <sheetProtection algorithmName="SHA-512" hashValue="UzYc5IfhlbRDgs8dQ87Hvx7RPnQHi/q5csNIaP4vOCfcpea9sgUGDuPiR40JHTiZ/7/fckdOgjkqd/uGs781Jw==" saltValue="2Zi83a6jbT2uCPLaavYJqw==" spinCount="100000" sheet="1" objects="1" scenarios="1"/>
  <mergeCells count="3">
    <mergeCell ref="B51:C61"/>
    <mergeCell ref="B64:C74"/>
    <mergeCell ref="B76:C79"/>
  </mergeCells>
  <conditionalFormatting sqref="C41:K41">
    <cfRule type="expression" dxfId="9" priority="7">
      <formula>#REF!=0</formula>
    </cfRule>
  </conditionalFormatting>
  <conditionalFormatting sqref="C40:G42 I40:K42">
    <cfRule type="expression" dxfId="8" priority="6">
      <formula>$I40=0</formula>
    </cfRule>
  </conditionalFormatting>
  <conditionalFormatting sqref="C42:K42">
    <cfRule type="expression" dxfId="7" priority="5">
      <formula>#REF!=0</formula>
    </cfRule>
  </conditionalFormatting>
  <conditionalFormatting sqref="H40:H42">
    <cfRule type="expression" dxfId="6" priority="162">
      <formula>$I40=0</formula>
    </cfRule>
  </conditionalFormatting>
  <conditionalFormatting sqref="N45">
    <cfRule type="cellIs" dxfId="5" priority="2" operator="equal">
      <formula>"?"</formula>
    </cfRule>
    <cfRule type="cellIs" dxfId="4" priority="3" operator="equal">
      <formula>1</formula>
    </cfRule>
    <cfRule type="cellIs" dxfId="3" priority="4" operator="equal">
      <formula>0</formula>
    </cfRule>
  </conditionalFormatting>
  <conditionalFormatting sqref="K9 J17:U17 K14 J20 K10:L13">
    <cfRule type="expression" dxfId="2" priority="1">
      <formula>#REF!="No"</formula>
    </cfRule>
  </conditionalFormatting>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42B9E-686D-4008-886C-A5B022C3A9C0}">
  <sheetPr codeName="Sheet4">
    <tabColor theme="7" tint="0.59999389629810485"/>
  </sheetPr>
  <dimension ref="A1:I106"/>
  <sheetViews>
    <sheetView topLeftCell="A63" zoomScaleNormal="100" workbookViewId="0">
      <selection activeCell="A63" sqref="A1:XFD1048576"/>
    </sheetView>
  </sheetViews>
  <sheetFormatPr defaultRowHeight="14.45"/>
  <cols>
    <col min="1" max="1" width="40" customWidth="1"/>
    <col min="2" max="2" width="20.5703125" customWidth="1"/>
    <col min="3" max="3" width="44.42578125" customWidth="1"/>
    <col min="4" max="4" width="14.42578125" customWidth="1"/>
    <col min="5" max="5" width="12.85546875" customWidth="1"/>
    <col min="6" max="6" width="40.85546875" customWidth="1"/>
    <col min="7" max="7" width="77.28515625" style="20" customWidth="1"/>
    <col min="8" max="8" width="24.85546875" style="20" customWidth="1"/>
    <col min="9" max="9" width="16.85546875" customWidth="1"/>
  </cols>
  <sheetData>
    <row r="1" spans="1:8">
      <c r="A1" t="s">
        <v>995</v>
      </c>
    </row>
    <row r="3" spans="1:8" ht="15" thickBot="1">
      <c r="A3" s="117" t="s">
        <v>68</v>
      </c>
      <c r="B3" s="117" t="s">
        <v>996</v>
      </c>
      <c r="C3" s="117" t="s">
        <v>997</v>
      </c>
      <c r="D3" s="117" t="s">
        <v>362</v>
      </c>
      <c r="E3" s="117" t="s">
        <v>261</v>
      </c>
      <c r="F3" s="117" t="s">
        <v>998</v>
      </c>
      <c r="G3" s="118" t="s">
        <v>999</v>
      </c>
      <c r="H3" s="118" t="s">
        <v>1000</v>
      </c>
    </row>
    <row r="4" spans="1:8" ht="43.5">
      <c r="A4" s="122" t="s">
        <v>1001</v>
      </c>
      <c r="B4" s="19" t="s">
        <v>1002</v>
      </c>
      <c r="C4" s="19" t="s">
        <v>1003</v>
      </c>
      <c r="D4" s="336">
        <v>0.81750329214143558</v>
      </c>
      <c r="E4" s="19" t="s">
        <v>876</v>
      </c>
      <c r="F4" s="19" t="s">
        <v>1004</v>
      </c>
      <c r="G4" s="116" t="s">
        <v>1005</v>
      </c>
      <c r="H4" s="116"/>
    </row>
    <row r="5" spans="1:8" ht="29.1">
      <c r="A5" s="113" t="s">
        <v>1001</v>
      </c>
      <c r="B5" s="19" t="s">
        <v>1002</v>
      </c>
      <c r="C5" s="19" t="s">
        <v>1006</v>
      </c>
      <c r="D5" s="336">
        <v>60</v>
      </c>
      <c r="E5" s="19" t="s">
        <v>264</v>
      </c>
      <c r="F5" s="19" t="s">
        <v>1007</v>
      </c>
      <c r="G5" s="116" t="s">
        <v>1008</v>
      </c>
      <c r="H5" s="116"/>
    </row>
    <row r="6" spans="1:8" ht="43.5">
      <c r="A6" s="113" t="s">
        <v>1001</v>
      </c>
      <c r="B6" s="19" t="s">
        <v>1002</v>
      </c>
      <c r="C6" s="19" t="s">
        <v>1009</v>
      </c>
      <c r="D6" s="336">
        <v>32.474415223108984</v>
      </c>
      <c r="E6" s="19" t="s">
        <v>264</v>
      </c>
      <c r="F6" s="19" t="s">
        <v>1010</v>
      </c>
      <c r="G6" s="116" t="s">
        <v>1011</v>
      </c>
      <c r="H6" s="116"/>
    </row>
    <row r="7" spans="1:8">
      <c r="A7" s="113" t="s">
        <v>772</v>
      </c>
      <c r="B7" s="19" t="s">
        <v>1002</v>
      </c>
      <c r="C7" s="19" t="s">
        <v>1012</v>
      </c>
      <c r="D7" s="154">
        <v>0.9</v>
      </c>
      <c r="E7" s="19" t="s">
        <v>1013</v>
      </c>
      <c r="F7" s="19" t="s">
        <v>1014</v>
      </c>
      <c r="G7" s="461"/>
      <c r="H7" s="461"/>
    </row>
    <row r="8" spans="1:8">
      <c r="A8" s="113" t="s">
        <v>772</v>
      </c>
      <c r="B8" s="19" t="s">
        <v>1002</v>
      </c>
      <c r="C8" s="19" t="s">
        <v>1015</v>
      </c>
      <c r="D8" s="154">
        <f>D7*0.7</f>
        <v>0.63</v>
      </c>
      <c r="E8" s="19" t="s">
        <v>1013</v>
      </c>
      <c r="F8" s="19" t="s">
        <v>1016</v>
      </c>
      <c r="G8" s="116" t="s">
        <v>1017</v>
      </c>
      <c r="H8" s="116"/>
    </row>
    <row r="9" spans="1:8" ht="29.1">
      <c r="A9" s="113" t="s">
        <v>772</v>
      </c>
      <c r="B9" s="19" t="s">
        <v>1002</v>
      </c>
      <c r="C9" s="19" t="s">
        <v>1018</v>
      </c>
      <c r="D9" s="154">
        <v>2</v>
      </c>
      <c r="E9" s="19" t="s">
        <v>1019</v>
      </c>
      <c r="F9" s="19"/>
      <c r="G9" s="116" t="s">
        <v>1020</v>
      </c>
      <c r="H9" s="116"/>
    </row>
    <row r="10" spans="1:8" ht="29.1">
      <c r="A10" s="113" t="s">
        <v>772</v>
      </c>
      <c r="B10" s="19" t="s">
        <v>1002</v>
      </c>
      <c r="C10" s="19" t="s">
        <v>1021</v>
      </c>
      <c r="D10" s="154">
        <v>2</v>
      </c>
      <c r="E10" s="19" t="s">
        <v>1019</v>
      </c>
      <c r="F10" s="19" t="s">
        <v>1022</v>
      </c>
      <c r="G10" s="116" t="s">
        <v>1020</v>
      </c>
      <c r="H10" s="116"/>
    </row>
    <row r="11" spans="1:8">
      <c r="A11" s="113" t="s">
        <v>772</v>
      </c>
      <c r="B11" s="19" t="s">
        <v>1002</v>
      </c>
      <c r="C11" s="19" t="s">
        <v>1023</v>
      </c>
      <c r="D11" s="120">
        <f>D7*D9/(6356*D17)</f>
        <v>4.3568766035726386E-4</v>
      </c>
      <c r="E11" s="19"/>
      <c r="F11" s="19" t="s">
        <v>1024</v>
      </c>
      <c r="G11" s="116"/>
      <c r="H11" s="116"/>
    </row>
    <row r="12" spans="1:8">
      <c r="A12" s="113" t="s">
        <v>772</v>
      </c>
      <c r="B12" s="19" t="s">
        <v>1002</v>
      </c>
      <c r="C12" s="19" t="s">
        <v>1025</v>
      </c>
      <c r="D12" s="120">
        <f>D8*D10*((1-D13)^3/(6356*D17))</f>
        <v>6.5875974246018293E-5</v>
      </c>
      <c r="E12" s="19"/>
      <c r="F12" s="19" t="s">
        <v>1026</v>
      </c>
      <c r="G12" s="116"/>
      <c r="H12" s="116"/>
    </row>
    <row r="13" spans="1:8">
      <c r="A13" s="113" t="s">
        <v>772</v>
      </c>
      <c r="B13" s="19" t="s">
        <v>1002</v>
      </c>
      <c r="C13" s="19" t="s">
        <v>1027</v>
      </c>
      <c r="D13" s="155">
        <v>0.4</v>
      </c>
      <c r="E13" s="19"/>
      <c r="F13" s="19" t="s">
        <v>1007</v>
      </c>
      <c r="G13" s="116"/>
      <c r="H13" s="116"/>
    </row>
    <row r="14" spans="1:8" ht="29.1">
      <c r="A14" s="113" t="s">
        <v>772</v>
      </c>
      <c r="B14" s="19" t="s">
        <v>1002</v>
      </c>
      <c r="C14" s="19" t="s">
        <v>1028</v>
      </c>
      <c r="D14" s="155">
        <v>0.15</v>
      </c>
      <c r="E14" s="19"/>
      <c r="F14" s="19" t="s">
        <v>1029</v>
      </c>
      <c r="G14" s="116" t="s">
        <v>1030</v>
      </c>
      <c r="H14" s="116"/>
    </row>
    <row r="15" spans="1:8">
      <c r="A15" s="113" t="s">
        <v>772</v>
      </c>
      <c r="B15" s="19" t="s">
        <v>1002</v>
      </c>
      <c r="C15" s="19" t="s">
        <v>1031</v>
      </c>
      <c r="D15" s="155">
        <v>0.15</v>
      </c>
      <c r="E15" s="19"/>
      <c r="F15" s="19" t="s">
        <v>1032</v>
      </c>
      <c r="G15" s="116" t="s">
        <v>1033</v>
      </c>
      <c r="H15" s="116"/>
    </row>
    <row r="16" spans="1:8" ht="29.1">
      <c r="A16" s="113" t="s">
        <v>772</v>
      </c>
      <c r="B16" s="19" t="s">
        <v>1002</v>
      </c>
      <c r="C16" s="19" t="s">
        <v>1034</v>
      </c>
      <c r="D16" s="190">
        <f>D14*2</f>
        <v>0.3</v>
      </c>
      <c r="E16" s="19"/>
      <c r="F16" s="19" t="s">
        <v>1032</v>
      </c>
      <c r="G16" s="116" t="s">
        <v>1035</v>
      </c>
      <c r="H16" s="116"/>
    </row>
    <row r="17" spans="1:8">
      <c r="A17" s="113" t="s">
        <v>1036</v>
      </c>
      <c r="B17" s="19" t="s">
        <v>1002</v>
      </c>
      <c r="C17" s="19" t="s">
        <v>1037</v>
      </c>
      <c r="D17" s="155">
        <v>0.65</v>
      </c>
      <c r="E17" s="19"/>
      <c r="F17" s="19" t="s">
        <v>1038</v>
      </c>
      <c r="G17" s="116"/>
      <c r="H17" s="116"/>
    </row>
    <row r="18" spans="1:8">
      <c r="A18" s="113" t="s">
        <v>1036</v>
      </c>
      <c r="B18" s="19" t="s">
        <v>1002</v>
      </c>
      <c r="C18" s="19" t="s">
        <v>1039</v>
      </c>
      <c r="D18" s="155">
        <v>0.92</v>
      </c>
      <c r="E18" s="19"/>
      <c r="F18" s="19" t="s">
        <v>1024</v>
      </c>
      <c r="G18" s="116"/>
      <c r="H18" s="116"/>
    </row>
    <row r="19" spans="1:8">
      <c r="A19" s="113" t="s">
        <v>1036</v>
      </c>
      <c r="B19" s="19" t="s">
        <v>1002</v>
      </c>
      <c r="C19" s="19" t="s">
        <v>1040</v>
      </c>
      <c r="D19" s="155">
        <v>0.96</v>
      </c>
      <c r="E19" s="19"/>
      <c r="F19" s="19" t="s">
        <v>1022</v>
      </c>
      <c r="G19" s="116"/>
      <c r="H19" s="116"/>
    </row>
    <row r="20" spans="1:8">
      <c r="A20" s="113" t="s">
        <v>1036</v>
      </c>
      <c r="B20" s="19" t="s">
        <v>1002</v>
      </c>
      <c r="C20" s="19" t="s">
        <v>1041</v>
      </c>
      <c r="D20" s="155">
        <v>0.9</v>
      </c>
      <c r="E20" s="19"/>
      <c r="F20" s="19" t="s">
        <v>1016</v>
      </c>
      <c r="G20" s="116"/>
      <c r="H20" s="116"/>
    </row>
    <row r="21" spans="1:8">
      <c r="A21" s="113" t="s">
        <v>1036</v>
      </c>
      <c r="B21" s="19" t="s">
        <v>1002</v>
      </c>
      <c r="C21" s="19" t="s">
        <v>1042</v>
      </c>
      <c r="D21" s="155">
        <v>0.93</v>
      </c>
      <c r="E21" s="19"/>
      <c r="F21" s="19" t="s">
        <v>1016</v>
      </c>
      <c r="G21" s="116"/>
      <c r="H21" s="116"/>
    </row>
    <row r="22" spans="1:8" ht="72.599999999999994">
      <c r="A22" s="113" t="s">
        <v>1036</v>
      </c>
      <c r="B22" s="19" t="s">
        <v>1002</v>
      </c>
      <c r="C22" s="19" t="s">
        <v>1043</v>
      </c>
      <c r="D22" s="155">
        <v>0.75</v>
      </c>
      <c r="E22" s="19"/>
      <c r="F22" s="19" t="s">
        <v>1044</v>
      </c>
      <c r="G22" s="116" t="s">
        <v>1045</v>
      </c>
      <c r="H22" s="116"/>
    </row>
    <row r="23" spans="1:8" ht="57.95">
      <c r="A23" s="113" t="s">
        <v>1036</v>
      </c>
      <c r="B23" s="19" t="s">
        <v>1002</v>
      </c>
      <c r="C23" s="19" t="s">
        <v>1046</v>
      </c>
      <c r="D23" s="155">
        <v>0.82</v>
      </c>
      <c r="E23" s="19"/>
      <c r="F23" s="19" t="s">
        <v>1047</v>
      </c>
      <c r="G23" s="116" t="s">
        <v>1048</v>
      </c>
      <c r="H23" s="116"/>
    </row>
    <row r="24" spans="1:8" ht="57.95">
      <c r="A24" s="113" t="s">
        <v>1036</v>
      </c>
      <c r="B24" s="19" t="s">
        <v>1002</v>
      </c>
      <c r="C24" s="19" t="s">
        <v>1049</v>
      </c>
      <c r="D24" s="155">
        <v>0.92</v>
      </c>
      <c r="E24" s="19"/>
      <c r="F24" s="19" t="s">
        <v>1047</v>
      </c>
      <c r="G24" s="116" t="s">
        <v>1050</v>
      </c>
      <c r="H24" s="116"/>
    </row>
    <row r="25" spans="1:8" ht="57.95">
      <c r="A25" s="113" t="s">
        <v>1036</v>
      </c>
      <c r="B25" s="19" t="s">
        <v>1002</v>
      </c>
      <c r="C25" s="19" t="s">
        <v>1051</v>
      </c>
      <c r="D25" s="155">
        <v>0.92</v>
      </c>
      <c r="E25" s="19"/>
      <c r="F25" s="19" t="s">
        <v>1052</v>
      </c>
      <c r="G25" s="116" t="s">
        <v>1053</v>
      </c>
      <c r="H25" s="116"/>
    </row>
    <row r="26" spans="1:8" ht="87">
      <c r="A26" s="113" t="s">
        <v>1036</v>
      </c>
      <c r="B26" s="19" t="s">
        <v>1002</v>
      </c>
      <c r="C26" s="19" t="s">
        <v>1054</v>
      </c>
      <c r="D26" s="156">
        <v>3</v>
      </c>
      <c r="E26" s="19"/>
      <c r="F26" s="19" t="s">
        <v>1052</v>
      </c>
      <c r="G26" s="116" t="s">
        <v>1055</v>
      </c>
      <c r="H26" s="915">
        <v>45348</v>
      </c>
    </row>
    <row r="27" spans="1:8">
      <c r="A27" s="113" t="s">
        <v>1036</v>
      </c>
      <c r="B27" s="19" t="s">
        <v>1002</v>
      </c>
      <c r="C27" s="19" t="s">
        <v>1056</v>
      </c>
      <c r="D27" s="156">
        <v>0.6</v>
      </c>
      <c r="E27" s="19" t="s">
        <v>1057</v>
      </c>
      <c r="F27" s="19" t="s">
        <v>1058</v>
      </c>
      <c r="G27" s="116" t="s">
        <v>1059</v>
      </c>
      <c r="H27" s="116"/>
    </row>
    <row r="28" spans="1:8">
      <c r="A28" s="113" t="s">
        <v>1060</v>
      </c>
      <c r="B28" s="19" t="s">
        <v>1002</v>
      </c>
      <c r="C28" s="19" t="s">
        <v>1061</v>
      </c>
      <c r="D28" s="156">
        <v>95</v>
      </c>
      <c r="E28" s="19" t="s">
        <v>1062</v>
      </c>
      <c r="F28" s="19" t="s">
        <v>1058</v>
      </c>
      <c r="G28" s="116"/>
      <c r="H28" s="116"/>
    </row>
    <row r="29" spans="1:8">
      <c r="A29" s="113"/>
      <c r="B29" s="19" t="s">
        <v>1002</v>
      </c>
      <c r="C29" s="19" t="s">
        <v>1063</v>
      </c>
      <c r="D29" s="155">
        <v>0.01</v>
      </c>
      <c r="E29" s="19"/>
      <c r="F29" s="19" t="s">
        <v>1058</v>
      </c>
      <c r="G29" s="116"/>
      <c r="H29" s="116"/>
    </row>
    <row r="30" spans="1:8">
      <c r="A30" s="113"/>
      <c r="B30" s="19" t="s">
        <v>1002</v>
      </c>
      <c r="C30" s="19" t="s">
        <v>1064</v>
      </c>
      <c r="D30" s="336">
        <v>1.2</v>
      </c>
      <c r="E30" s="19" t="s">
        <v>150</v>
      </c>
      <c r="F30" s="19" t="s">
        <v>1058</v>
      </c>
      <c r="G30" s="116"/>
      <c r="H30" s="116"/>
    </row>
    <row r="31" spans="1:8">
      <c r="A31" s="113" t="s">
        <v>1060</v>
      </c>
      <c r="B31" s="19" t="s">
        <v>1002</v>
      </c>
      <c r="C31" s="19" t="s">
        <v>1065</v>
      </c>
      <c r="D31" s="157">
        <v>66</v>
      </c>
      <c r="E31" s="19" t="s">
        <v>1062</v>
      </c>
      <c r="F31" s="19" t="s">
        <v>1066</v>
      </c>
      <c r="G31" s="116"/>
      <c r="H31" s="116"/>
    </row>
    <row r="32" spans="1:8">
      <c r="A32" s="113" t="s">
        <v>1060</v>
      </c>
      <c r="B32" s="19" t="s">
        <v>1002</v>
      </c>
      <c r="C32" s="19" t="s">
        <v>1067</v>
      </c>
      <c r="D32" s="157">
        <v>70</v>
      </c>
      <c r="E32" s="19" t="s">
        <v>1062</v>
      </c>
      <c r="F32" s="19" t="s">
        <v>1058</v>
      </c>
      <c r="G32" s="116"/>
      <c r="H32" s="116"/>
    </row>
    <row r="33" spans="1:8">
      <c r="A33" s="113" t="s">
        <v>1060</v>
      </c>
      <c r="B33" s="19" t="s">
        <v>1002</v>
      </c>
      <c r="C33" s="19" t="s">
        <v>1068</v>
      </c>
      <c r="D33" s="157">
        <v>55</v>
      </c>
      <c r="E33" s="19" t="s">
        <v>1062</v>
      </c>
      <c r="F33" s="19" t="s">
        <v>1066</v>
      </c>
      <c r="G33" s="116"/>
      <c r="H33" s="116"/>
    </row>
    <row r="34" spans="1:8">
      <c r="A34" s="113"/>
      <c r="B34" s="19" t="s">
        <v>1002</v>
      </c>
      <c r="C34" s="19" t="s">
        <v>1069</v>
      </c>
      <c r="D34" s="157">
        <v>450</v>
      </c>
      <c r="E34" s="19" t="s">
        <v>1070</v>
      </c>
      <c r="F34" s="19" t="s">
        <v>1058</v>
      </c>
      <c r="G34" s="116"/>
      <c r="H34" s="116"/>
    </row>
    <row r="35" spans="1:8">
      <c r="A35" s="113" t="s">
        <v>1060</v>
      </c>
      <c r="B35" s="19" t="s">
        <v>1002</v>
      </c>
      <c r="C35" s="19" t="s">
        <v>1071</v>
      </c>
      <c r="D35" s="157">
        <v>55</v>
      </c>
      <c r="E35" s="19" t="s">
        <v>1062</v>
      </c>
      <c r="F35" s="19" t="s">
        <v>1066</v>
      </c>
      <c r="G35" s="116"/>
      <c r="H35" s="116"/>
    </row>
    <row r="36" spans="1:8">
      <c r="A36" s="113" t="s">
        <v>1060</v>
      </c>
      <c r="B36" s="19" t="s">
        <v>1002</v>
      </c>
      <c r="C36" s="19" t="s">
        <v>1072</v>
      </c>
      <c r="D36" s="157">
        <v>60</v>
      </c>
      <c r="E36" s="19" t="s">
        <v>1062</v>
      </c>
      <c r="F36" s="19" t="s">
        <v>1066</v>
      </c>
      <c r="G36" s="116"/>
      <c r="H36" s="116"/>
    </row>
    <row r="37" spans="1:8">
      <c r="A37" s="113" t="s">
        <v>1060</v>
      </c>
      <c r="B37" s="19" t="s">
        <v>1002</v>
      </c>
      <c r="C37" s="19" t="s">
        <v>1073</v>
      </c>
      <c r="D37" s="157">
        <v>38</v>
      </c>
      <c r="E37" s="19" t="s">
        <v>1062</v>
      </c>
      <c r="F37" s="19" t="s">
        <v>1058</v>
      </c>
      <c r="G37" s="116"/>
      <c r="H37" s="116"/>
    </row>
    <row r="38" spans="1:8">
      <c r="A38" s="113"/>
      <c r="B38" s="19" t="s">
        <v>1002</v>
      </c>
      <c r="C38" s="19" t="s">
        <v>1074</v>
      </c>
      <c r="D38" s="157">
        <v>1</v>
      </c>
      <c r="E38" s="19" t="s">
        <v>1075</v>
      </c>
      <c r="F38" s="19" t="s">
        <v>1058</v>
      </c>
      <c r="G38" s="116"/>
      <c r="H38" s="116"/>
    </row>
    <row r="39" spans="1:8">
      <c r="A39" s="113" t="s">
        <v>1060</v>
      </c>
      <c r="B39" s="19" t="s">
        <v>1002</v>
      </c>
      <c r="C39" s="19" t="s">
        <v>1076</v>
      </c>
      <c r="D39" s="157">
        <v>0</v>
      </c>
      <c r="E39" s="19"/>
      <c r="F39" s="19" t="s">
        <v>1066</v>
      </c>
      <c r="G39" s="116"/>
      <c r="H39" s="116"/>
    </row>
    <row r="40" spans="1:8">
      <c r="A40" s="113"/>
      <c r="B40" s="19" t="s">
        <v>1002</v>
      </c>
      <c r="C40" s="19" t="s">
        <v>1077</v>
      </c>
      <c r="D40" s="305">
        <v>2E-3</v>
      </c>
      <c r="E40" s="19"/>
      <c r="F40" s="19" t="s">
        <v>1066</v>
      </c>
      <c r="G40" s="116"/>
      <c r="H40" s="116"/>
    </row>
    <row r="41" spans="1:8">
      <c r="A41" s="113"/>
      <c r="B41" s="19" t="s">
        <v>1002</v>
      </c>
      <c r="C41" s="19" t="s">
        <v>1078</v>
      </c>
      <c r="D41" s="157">
        <v>1.2</v>
      </c>
      <c r="E41" s="19" t="s">
        <v>150</v>
      </c>
      <c r="F41" s="19" t="s">
        <v>1066</v>
      </c>
      <c r="G41" s="116"/>
      <c r="H41" s="116"/>
    </row>
    <row r="42" spans="1:8">
      <c r="A42" s="113" t="s">
        <v>1060</v>
      </c>
      <c r="B42" s="19" t="s">
        <v>1002</v>
      </c>
      <c r="C42" s="19" t="s">
        <v>1079</v>
      </c>
      <c r="D42" s="157">
        <v>65</v>
      </c>
      <c r="E42" s="19" t="s">
        <v>1062</v>
      </c>
      <c r="F42" s="19" t="s">
        <v>1066</v>
      </c>
      <c r="G42" s="116"/>
      <c r="H42" s="116"/>
    </row>
    <row r="43" spans="1:8">
      <c r="A43" s="113" t="s">
        <v>1060</v>
      </c>
      <c r="B43" s="19" t="s">
        <v>1002</v>
      </c>
      <c r="C43" s="19" t="s">
        <v>1080</v>
      </c>
      <c r="D43" s="157">
        <v>30</v>
      </c>
      <c r="E43" s="19" t="s">
        <v>1062</v>
      </c>
      <c r="F43" s="19" t="s">
        <v>1066</v>
      </c>
      <c r="G43" s="116"/>
      <c r="H43" s="116"/>
    </row>
    <row r="44" spans="1:8">
      <c r="A44" s="113" t="s">
        <v>1060</v>
      </c>
      <c r="B44" s="19" t="s">
        <v>1002</v>
      </c>
      <c r="C44" s="19" t="s">
        <v>1081</v>
      </c>
      <c r="D44" s="157">
        <v>75</v>
      </c>
      <c r="E44" s="19" t="s">
        <v>1062</v>
      </c>
      <c r="F44" s="19" t="s">
        <v>1066</v>
      </c>
      <c r="G44" s="116"/>
      <c r="H44" s="116"/>
    </row>
    <row r="45" spans="1:8">
      <c r="A45" s="113" t="s">
        <v>1060</v>
      </c>
      <c r="B45" s="19" t="s">
        <v>1002</v>
      </c>
      <c r="C45" s="19" t="s">
        <v>1082</v>
      </c>
      <c r="D45" s="157">
        <v>65</v>
      </c>
      <c r="E45" s="19" t="s">
        <v>1062</v>
      </c>
      <c r="F45" s="19" t="s">
        <v>1066</v>
      </c>
      <c r="G45" s="116"/>
      <c r="H45" s="116"/>
    </row>
    <row r="46" spans="1:8">
      <c r="A46" s="113" t="s">
        <v>1060</v>
      </c>
      <c r="B46" s="19" t="s">
        <v>1002</v>
      </c>
      <c r="C46" s="19" t="s">
        <v>1083</v>
      </c>
      <c r="D46" s="157">
        <v>60</v>
      </c>
      <c r="E46" s="19" t="s">
        <v>1062</v>
      </c>
      <c r="F46" s="19" t="s">
        <v>1066</v>
      </c>
      <c r="G46" s="116"/>
      <c r="H46" s="116"/>
    </row>
    <row r="47" spans="1:8">
      <c r="A47" s="113"/>
      <c r="B47" s="19" t="s">
        <v>1002</v>
      </c>
      <c r="C47" s="19" t="s">
        <v>1084</v>
      </c>
      <c r="D47" s="157">
        <v>50</v>
      </c>
      <c r="E47" s="19" t="s">
        <v>1085</v>
      </c>
      <c r="F47" s="19" t="s">
        <v>1066</v>
      </c>
      <c r="G47" s="116"/>
      <c r="H47" s="116"/>
    </row>
    <row r="48" spans="1:8">
      <c r="A48" s="113"/>
      <c r="B48" s="19" t="s">
        <v>1002</v>
      </c>
      <c r="C48" s="19" t="s">
        <v>1086</v>
      </c>
      <c r="D48" s="156">
        <v>0.05</v>
      </c>
      <c r="E48" s="19" t="s">
        <v>1087</v>
      </c>
      <c r="F48" s="19" t="s">
        <v>1066</v>
      </c>
      <c r="G48" s="116"/>
      <c r="H48" s="116"/>
    </row>
    <row r="49" spans="1:8">
      <c r="A49" s="113" t="s">
        <v>1060</v>
      </c>
      <c r="B49" s="19" t="s">
        <v>1002</v>
      </c>
      <c r="C49" s="19" t="s">
        <v>1088</v>
      </c>
      <c r="D49" s="156">
        <v>7</v>
      </c>
      <c r="E49" s="19" t="s">
        <v>1062</v>
      </c>
      <c r="F49" s="19" t="s">
        <v>1089</v>
      </c>
      <c r="G49" s="116"/>
      <c r="H49" s="116"/>
    </row>
    <row r="50" spans="1:8">
      <c r="A50" s="113" t="s">
        <v>1060</v>
      </c>
      <c r="B50" s="19" t="s">
        <v>1002</v>
      </c>
      <c r="C50" s="19" t="s">
        <v>1090</v>
      </c>
      <c r="D50" s="156">
        <v>85</v>
      </c>
      <c r="E50" s="19" t="s">
        <v>1062</v>
      </c>
      <c r="F50" s="19" t="s">
        <v>1089</v>
      </c>
      <c r="G50" s="116"/>
      <c r="H50" s="116"/>
    </row>
    <row r="51" spans="1:8">
      <c r="A51" s="113" t="s">
        <v>1060</v>
      </c>
      <c r="B51" s="19" t="s">
        <v>1002</v>
      </c>
      <c r="C51" s="19" t="s">
        <v>1091</v>
      </c>
      <c r="D51" s="157">
        <v>70</v>
      </c>
      <c r="E51" s="19" t="s">
        <v>1062</v>
      </c>
      <c r="F51" s="19" t="s">
        <v>1007</v>
      </c>
      <c r="G51" s="116" t="s">
        <v>1092</v>
      </c>
      <c r="H51" s="116"/>
    </row>
    <row r="52" spans="1:8">
      <c r="A52" s="113" t="s">
        <v>1060</v>
      </c>
      <c r="B52" s="19" t="s">
        <v>1002</v>
      </c>
      <c r="C52" s="19" t="s">
        <v>1093</v>
      </c>
      <c r="D52" s="157">
        <v>64</v>
      </c>
      <c r="E52" s="19" t="s">
        <v>1062</v>
      </c>
      <c r="F52" s="19" t="s">
        <v>1022</v>
      </c>
      <c r="G52" s="116" t="s">
        <v>1094</v>
      </c>
      <c r="H52" s="116"/>
    </row>
    <row r="53" spans="1:8">
      <c r="A53" s="113" t="s">
        <v>1060</v>
      </c>
      <c r="B53" s="19" t="s">
        <v>1002</v>
      </c>
      <c r="C53" s="19" t="s">
        <v>1095</v>
      </c>
      <c r="D53" s="157">
        <v>80</v>
      </c>
      <c r="E53" s="19" t="s">
        <v>1062</v>
      </c>
      <c r="F53" s="19" t="s">
        <v>1022</v>
      </c>
      <c r="G53" s="116"/>
      <c r="H53" s="116"/>
    </row>
    <row r="54" spans="1:8">
      <c r="A54" s="113" t="s">
        <v>1060</v>
      </c>
      <c r="B54" s="19" t="s">
        <v>1002</v>
      </c>
      <c r="C54" s="19" t="s">
        <v>1096</v>
      </c>
      <c r="D54" s="157">
        <v>70</v>
      </c>
      <c r="E54" s="19" t="s">
        <v>1062</v>
      </c>
      <c r="F54" s="19" t="s">
        <v>1007</v>
      </c>
      <c r="G54" s="116"/>
      <c r="H54" s="116"/>
    </row>
    <row r="55" spans="1:8">
      <c r="A55" s="113" t="s">
        <v>1060</v>
      </c>
      <c r="B55" s="19" t="s">
        <v>1002</v>
      </c>
      <c r="C55" s="19" t="s">
        <v>1097</v>
      </c>
      <c r="D55" s="157">
        <v>68</v>
      </c>
      <c r="E55" s="19" t="s">
        <v>1062</v>
      </c>
      <c r="F55" s="19" t="s">
        <v>1007</v>
      </c>
      <c r="G55" s="116" t="s">
        <v>1098</v>
      </c>
      <c r="H55" s="116"/>
    </row>
    <row r="56" spans="1:8">
      <c r="A56" s="113" t="s">
        <v>1060</v>
      </c>
      <c r="B56" s="19" t="s">
        <v>1002</v>
      </c>
      <c r="C56" s="116" t="s">
        <v>1099</v>
      </c>
      <c r="D56" s="174">
        <v>66</v>
      </c>
      <c r="E56" s="19" t="s">
        <v>1062</v>
      </c>
      <c r="F56" s="19" t="s">
        <v>1100</v>
      </c>
      <c r="G56" s="116" t="s">
        <v>1101</v>
      </c>
      <c r="H56" s="116"/>
    </row>
    <row r="57" spans="1:8">
      <c r="A57" s="113" t="s">
        <v>1060</v>
      </c>
      <c r="B57" s="19" t="s">
        <v>1002</v>
      </c>
      <c r="C57" s="116" t="s">
        <v>1102</v>
      </c>
      <c r="D57" s="174">
        <v>67</v>
      </c>
      <c r="E57" s="19" t="s">
        <v>1062</v>
      </c>
      <c r="F57" s="19" t="s">
        <v>1103</v>
      </c>
      <c r="G57" s="116" t="s">
        <v>1101</v>
      </c>
      <c r="H57" s="116"/>
    </row>
    <row r="58" spans="1:8">
      <c r="A58" s="113" t="s">
        <v>1060</v>
      </c>
      <c r="B58" s="19" t="s">
        <v>1002</v>
      </c>
      <c r="C58" s="116" t="s">
        <v>1104</v>
      </c>
      <c r="D58" s="157">
        <v>62</v>
      </c>
      <c r="E58" s="19" t="s">
        <v>1062</v>
      </c>
      <c r="F58" s="19" t="s">
        <v>1100</v>
      </c>
      <c r="G58" s="116" t="s">
        <v>1101</v>
      </c>
      <c r="H58" s="116"/>
    </row>
    <row r="59" spans="1:8">
      <c r="A59" s="113" t="s">
        <v>1060</v>
      </c>
      <c r="B59" s="19" t="s">
        <v>1002</v>
      </c>
      <c r="C59" s="121" t="s">
        <v>1105</v>
      </c>
      <c r="D59" s="157">
        <v>68</v>
      </c>
      <c r="E59" s="19" t="s">
        <v>1062</v>
      </c>
      <c r="F59" s="19" t="s">
        <v>1103</v>
      </c>
      <c r="G59" s="116" t="s">
        <v>1101</v>
      </c>
      <c r="H59" s="116"/>
    </row>
    <row r="60" spans="1:8">
      <c r="A60" s="113" t="s">
        <v>1060</v>
      </c>
      <c r="B60" s="19" t="s">
        <v>1002</v>
      </c>
      <c r="C60" s="19" t="s">
        <v>1106</v>
      </c>
      <c r="D60" s="157">
        <v>64</v>
      </c>
      <c r="E60" s="19" t="s">
        <v>1062</v>
      </c>
      <c r="F60" s="19" t="s">
        <v>1007</v>
      </c>
      <c r="G60" s="116"/>
      <c r="H60" s="116"/>
    </row>
    <row r="61" spans="1:8">
      <c r="A61" s="113" t="s">
        <v>1060</v>
      </c>
      <c r="B61" s="19" t="s">
        <v>1002</v>
      </c>
      <c r="C61" s="121" t="s">
        <v>1107</v>
      </c>
      <c r="D61" s="175">
        <v>64</v>
      </c>
      <c r="E61" s="113" t="s">
        <v>1062</v>
      </c>
      <c r="F61" s="113" t="s">
        <v>1007</v>
      </c>
      <c r="G61" s="116"/>
      <c r="H61" s="116"/>
    </row>
    <row r="62" spans="1:8">
      <c r="A62" s="113" t="s">
        <v>1108</v>
      </c>
      <c r="B62" s="19" t="s">
        <v>898</v>
      </c>
      <c r="C62" s="19" t="s">
        <v>1109</v>
      </c>
      <c r="D62" s="155">
        <v>0.1</v>
      </c>
      <c r="E62" s="19"/>
      <c r="F62" s="19" t="s">
        <v>1110</v>
      </c>
      <c r="G62" s="116" t="s">
        <v>1111</v>
      </c>
      <c r="H62" s="116"/>
    </row>
    <row r="63" spans="1:8">
      <c r="A63" s="113" t="s">
        <v>1108</v>
      </c>
      <c r="B63" s="19" t="s">
        <v>1002</v>
      </c>
      <c r="C63" s="19" t="s">
        <v>1112</v>
      </c>
      <c r="D63" s="154">
        <v>180</v>
      </c>
      <c r="E63" s="19" t="s">
        <v>1062</v>
      </c>
      <c r="F63" s="19" t="s">
        <v>1110</v>
      </c>
      <c r="G63" s="116"/>
      <c r="H63" s="116"/>
    </row>
    <row r="64" spans="1:8">
      <c r="A64" s="113" t="s">
        <v>1108</v>
      </c>
      <c r="B64" s="19" t="s">
        <v>1002</v>
      </c>
      <c r="C64" s="19" t="s">
        <v>1113</v>
      </c>
      <c r="D64" s="154">
        <v>160</v>
      </c>
      <c r="E64" s="19" t="s">
        <v>1062</v>
      </c>
      <c r="F64" s="19" t="s">
        <v>1110</v>
      </c>
      <c r="G64" s="116"/>
      <c r="H64" s="116"/>
    </row>
    <row r="65" spans="1:8">
      <c r="A65" s="113" t="s">
        <v>1108</v>
      </c>
      <c r="B65" s="19" t="s">
        <v>1002</v>
      </c>
      <c r="C65" s="19" t="s">
        <v>1114</v>
      </c>
      <c r="D65" s="154">
        <v>160</v>
      </c>
      <c r="E65" s="19" t="s">
        <v>1062</v>
      </c>
      <c r="F65" s="19" t="s">
        <v>1110</v>
      </c>
      <c r="G65" s="116"/>
      <c r="H65" s="116"/>
    </row>
    <row r="66" spans="1:8">
      <c r="A66" s="113" t="s">
        <v>1108</v>
      </c>
      <c r="B66" s="19" t="s">
        <v>1002</v>
      </c>
      <c r="C66" s="19" t="s">
        <v>1115</v>
      </c>
      <c r="D66" s="154">
        <v>145</v>
      </c>
      <c r="E66" s="19" t="s">
        <v>1062</v>
      </c>
      <c r="F66" s="19" t="s">
        <v>1110</v>
      </c>
      <c r="G66" s="116"/>
      <c r="H66" s="116"/>
    </row>
    <row r="67" spans="1:8">
      <c r="A67" s="113" t="s">
        <v>1108</v>
      </c>
      <c r="B67" s="19" t="s">
        <v>898</v>
      </c>
      <c r="C67" s="19" t="s">
        <v>1116</v>
      </c>
      <c r="D67" s="154">
        <v>0.7</v>
      </c>
      <c r="E67" s="19" t="s">
        <v>1117</v>
      </c>
      <c r="F67" s="19" t="s">
        <v>1022</v>
      </c>
      <c r="G67" s="116" t="s">
        <v>1118</v>
      </c>
      <c r="H67" s="116"/>
    </row>
    <row r="68" spans="1:8">
      <c r="A68" s="113" t="s">
        <v>1108</v>
      </c>
      <c r="B68" s="19" t="s">
        <v>1002</v>
      </c>
      <c r="C68" s="19" t="s">
        <v>1119</v>
      </c>
      <c r="D68" s="154">
        <f>8760-(4*365)</f>
        <v>7300</v>
      </c>
      <c r="E68" s="19" t="s">
        <v>1120</v>
      </c>
      <c r="F68" s="19" t="s">
        <v>1007</v>
      </c>
      <c r="G68" s="910" t="s">
        <v>1121</v>
      </c>
      <c r="H68" s="116"/>
    </row>
    <row r="69" spans="1:8" ht="43.5">
      <c r="A69" s="113" t="s">
        <v>1108</v>
      </c>
      <c r="B69" s="19" t="s">
        <v>1002</v>
      </c>
      <c r="C69" s="19" t="s">
        <v>1122</v>
      </c>
      <c r="D69" s="154">
        <v>5100</v>
      </c>
      <c r="E69" s="19" t="s">
        <v>1120</v>
      </c>
      <c r="F69" s="19"/>
      <c r="G69" s="116" t="s">
        <v>1123</v>
      </c>
      <c r="H69" s="116"/>
    </row>
    <row r="70" spans="1:8">
      <c r="A70" s="113" t="s">
        <v>1108</v>
      </c>
      <c r="B70" s="19" t="s">
        <v>1002</v>
      </c>
      <c r="C70" s="19" t="s">
        <v>1124</v>
      </c>
      <c r="D70" s="124">
        <f>D69/(7*24)</f>
        <v>30.357142857142858</v>
      </c>
      <c r="E70" s="19" t="s">
        <v>1125</v>
      </c>
      <c r="F70" s="19"/>
      <c r="G70" s="116"/>
      <c r="H70" s="116"/>
    </row>
    <row r="71" spans="1:8">
      <c r="A71" s="113" t="s">
        <v>1108</v>
      </c>
      <c r="B71" s="19" t="s">
        <v>1002</v>
      </c>
      <c r="C71" s="116" t="s">
        <v>1126</v>
      </c>
      <c r="D71" s="154">
        <v>3</v>
      </c>
      <c r="E71" s="19" t="s">
        <v>1062</v>
      </c>
      <c r="F71" s="19" t="s">
        <v>1007</v>
      </c>
      <c r="G71" s="116" t="s">
        <v>1127</v>
      </c>
      <c r="H71" s="116"/>
    </row>
    <row r="72" spans="1:8">
      <c r="A72" s="113" t="s">
        <v>1108</v>
      </c>
      <c r="B72" s="19" t="s">
        <v>1002</v>
      </c>
      <c r="C72" s="116" t="s">
        <v>1128</v>
      </c>
      <c r="D72" s="154">
        <v>1</v>
      </c>
      <c r="E72" s="19" t="s">
        <v>1062</v>
      </c>
      <c r="F72" s="19" t="s">
        <v>1007</v>
      </c>
      <c r="G72" s="116" t="s">
        <v>1129</v>
      </c>
      <c r="H72" s="116"/>
    </row>
    <row r="73" spans="1:8" ht="37.5" customHeight="1">
      <c r="A73" s="113" t="s">
        <v>1108</v>
      </c>
      <c r="B73" s="19" t="s">
        <v>898</v>
      </c>
      <c r="C73" s="19" t="s">
        <v>1130</v>
      </c>
      <c r="D73" s="155">
        <v>0.2</v>
      </c>
      <c r="E73" s="19"/>
      <c r="F73" s="19" t="s">
        <v>1131</v>
      </c>
      <c r="G73" s="116" t="s">
        <v>1132</v>
      </c>
      <c r="H73" s="116"/>
    </row>
    <row r="74" spans="1:8" ht="37.5" customHeight="1">
      <c r="A74" s="113" t="s">
        <v>1108</v>
      </c>
      <c r="B74" s="19" t="s">
        <v>898</v>
      </c>
      <c r="C74" s="19" t="s">
        <v>1133</v>
      </c>
      <c r="D74" s="155">
        <v>0.6</v>
      </c>
      <c r="E74" s="19"/>
      <c r="F74" s="19" t="s">
        <v>1131</v>
      </c>
      <c r="G74" s="116" t="s">
        <v>1134</v>
      </c>
      <c r="H74" s="116"/>
    </row>
    <row r="75" spans="1:8">
      <c r="A75" s="113" t="s">
        <v>1108</v>
      </c>
      <c r="B75" s="19" t="s">
        <v>898</v>
      </c>
      <c r="C75" s="19" t="s">
        <v>1135</v>
      </c>
      <c r="D75" s="155">
        <v>0.5</v>
      </c>
      <c r="E75" s="19"/>
      <c r="F75" s="19" t="s">
        <v>1131</v>
      </c>
      <c r="G75" s="116" t="s">
        <v>1136</v>
      </c>
      <c r="H75" s="116"/>
    </row>
    <row r="76" spans="1:8" ht="72.599999999999994">
      <c r="A76" s="113" t="s">
        <v>1108</v>
      </c>
      <c r="B76" s="19" t="s">
        <v>898</v>
      </c>
      <c r="C76" s="116" t="s">
        <v>1137</v>
      </c>
      <c r="D76" s="155">
        <v>0.2</v>
      </c>
      <c r="E76" s="19"/>
      <c r="F76" s="19" t="s">
        <v>1131</v>
      </c>
      <c r="G76" s="116" t="s">
        <v>1138</v>
      </c>
      <c r="H76" s="116"/>
    </row>
    <row r="77" spans="1:8">
      <c r="A77" s="113" t="s">
        <v>1108</v>
      </c>
      <c r="B77" s="19" t="s">
        <v>1002</v>
      </c>
      <c r="C77" s="19" t="s">
        <v>1139</v>
      </c>
      <c r="D77" s="154">
        <v>5</v>
      </c>
      <c r="E77" s="19"/>
      <c r="F77" s="19" t="s">
        <v>1140</v>
      </c>
      <c r="G77" s="116"/>
      <c r="H77" s="116"/>
    </row>
    <row r="78" spans="1:8">
      <c r="A78" s="113" t="s">
        <v>1108</v>
      </c>
      <c r="B78" s="19" t="s">
        <v>898</v>
      </c>
      <c r="C78" s="19" t="s">
        <v>1141</v>
      </c>
      <c r="D78" s="158">
        <v>0.02</v>
      </c>
      <c r="E78" s="19"/>
      <c r="F78" s="19" t="s">
        <v>1140</v>
      </c>
      <c r="G78" s="116"/>
      <c r="H78" s="116"/>
    </row>
    <row r="79" spans="1:8">
      <c r="A79" s="113" t="s">
        <v>1108</v>
      </c>
      <c r="B79" s="19" t="s">
        <v>898</v>
      </c>
      <c r="C79" s="19" t="s">
        <v>1142</v>
      </c>
      <c r="D79" s="155">
        <v>0.85</v>
      </c>
      <c r="E79" s="19"/>
      <c r="F79" s="19" t="s">
        <v>1140</v>
      </c>
      <c r="G79" s="116"/>
      <c r="H79" s="116"/>
    </row>
    <row r="80" spans="1:8">
      <c r="A80" s="113" t="s">
        <v>1108</v>
      </c>
      <c r="B80" s="19" t="s">
        <v>1002</v>
      </c>
      <c r="C80" s="19" t="s">
        <v>1143</v>
      </c>
      <c r="D80" s="119">
        <f>SUM(Schedule!E57:E65)</f>
        <v>1482</v>
      </c>
      <c r="E80" s="19"/>
      <c r="F80" s="19" t="s">
        <v>1140</v>
      </c>
      <c r="G80" s="116"/>
      <c r="H80" s="116"/>
    </row>
    <row r="81" spans="1:8">
      <c r="A81" s="113" t="s">
        <v>1108</v>
      </c>
      <c r="B81" s="19" t="s">
        <v>1002</v>
      </c>
      <c r="C81" s="19" t="s">
        <v>1144</v>
      </c>
      <c r="D81" s="123">
        <f>SUM(Schedule!D57:D65)</f>
        <v>3470</v>
      </c>
      <c r="E81" s="19"/>
      <c r="F81" s="19" t="s">
        <v>1140</v>
      </c>
      <c r="G81" s="116"/>
      <c r="H81" s="116"/>
    </row>
    <row r="82" spans="1:8" ht="57.95">
      <c r="A82" s="113" t="s">
        <v>1108</v>
      </c>
      <c r="B82" s="19" t="s">
        <v>898</v>
      </c>
      <c r="C82" s="116" t="s">
        <v>1145</v>
      </c>
      <c r="D82" s="189">
        <v>0.246</v>
      </c>
      <c r="E82" s="19"/>
      <c r="F82" s="19" t="s">
        <v>1146</v>
      </c>
      <c r="G82" s="116" t="s">
        <v>1147</v>
      </c>
      <c r="H82" s="116"/>
    </row>
    <row r="83" spans="1:8">
      <c r="A83" s="113" t="s">
        <v>1108</v>
      </c>
      <c r="B83" s="19" t="s">
        <v>1002</v>
      </c>
      <c r="C83" s="116" t="s">
        <v>1148</v>
      </c>
      <c r="D83" s="124">
        <f>Schedule!C23</f>
        <v>4642.2423076923078</v>
      </c>
      <c r="E83" s="19" t="s">
        <v>1149</v>
      </c>
      <c r="F83" s="19" t="s">
        <v>1146</v>
      </c>
      <c r="G83" s="116" t="s">
        <v>1150</v>
      </c>
      <c r="H83" s="116"/>
    </row>
    <row r="84" spans="1:8" ht="101.45">
      <c r="A84" s="113" t="s">
        <v>1108</v>
      </c>
      <c r="B84" s="19" t="s">
        <v>898</v>
      </c>
      <c r="C84" s="116" t="s">
        <v>1151</v>
      </c>
      <c r="D84" s="155">
        <v>0.7</v>
      </c>
      <c r="E84" s="19"/>
      <c r="F84" s="19" t="s">
        <v>1146</v>
      </c>
      <c r="G84" s="116" t="s">
        <v>1152</v>
      </c>
      <c r="H84" s="116"/>
    </row>
    <row r="85" spans="1:8">
      <c r="A85" s="113" t="s">
        <v>1153</v>
      </c>
      <c r="B85" s="19" t="s">
        <v>1154</v>
      </c>
      <c r="C85" s="115" t="s">
        <v>1155</v>
      </c>
      <c r="D85" s="154">
        <v>3412</v>
      </c>
      <c r="E85" s="19" t="s">
        <v>1156</v>
      </c>
      <c r="F85" s="19" t="s">
        <v>1052</v>
      </c>
      <c r="G85" s="116"/>
      <c r="H85" s="116"/>
    </row>
    <row r="86" spans="1:8">
      <c r="A86" s="19" t="s">
        <v>1153</v>
      </c>
      <c r="B86" s="19" t="s">
        <v>1154</v>
      </c>
      <c r="C86" s="115" t="s">
        <v>1157</v>
      </c>
      <c r="D86" s="154">
        <v>1000</v>
      </c>
      <c r="E86" s="19" t="s">
        <v>1158</v>
      </c>
      <c r="F86" s="19" t="s">
        <v>1159</v>
      </c>
      <c r="G86" s="116"/>
      <c r="H86" s="116"/>
    </row>
    <row r="87" spans="1:8">
      <c r="A87" s="19" t="s">
        <v>1153</v>
      </c>
      <c r="B87" s="19" t="s">
        <v>1154</v>
      </c>
      <c r="C87" s="19" t="s">
        <v>1160</v>
      </c>
      <c r="D87" s="156">
        <v>1000</v>
      </c>
      <c r="E87" s="19" t="s">
        <v>1161</v>
      </c>
      <c r="F87" s="19" t="s">
        <v>1066</v>
      </c>
      <c r="G87" s="116"/>
      <c r="H87" s="116"/>
    </row>
    <row r="88" spans="1:8">
      <c r="A88" s="19" t="s">
        <v>1153</v>
      </c>
      <c r="B88" s="19" t="s">
        <v>898</v>
      </c>
      <c r="C88" s="115" t="s">
        <v>1162</v>
      </c>
      <c r="D88" s="154">
        <f>7/5</f>
        <v>1.4</v>
      </c>
      <c r="E88" s="19"/>
      <c r="F88" s="19" t="s">
        <v>1052</v>
      </c>
      <c r="G88" s="116" t="s">
        <v>1163</v>
      </c>
      <c r="H88" s="116"/>
    </row>
    <row r="89" spans="1:8">
      <c r="A89" s="19" t="s">
        <v>1164</v>
      </c>
      <c r="B89" s="19" t="s">
        <v>1154</v>
      </c>
      <c r="C89" s="115" t="s">
        <v>1165</v>
      </c>
      <c r="D89" s="154">
        <v>10</v>
      </c>
      <c r="E89" s="19"/>
      <c r="F89" s="19"/>
      <c r="G89" s="116"/>
      <c r="H89" s="116"/>
    </row>
    <row r="90" spans="1:8">
      <c r="A90" s="19" t="s">
        <v>1164</v>
      </c>
      <c r="B90" s="19" t="s">
        <v>1154</v>
      </c>
      <c r="C90" s="115" t="s">
        <v>1166</v>
      </c>
      <c r="D90" s="154">
        <v>138.5</v>
      </c>
      <c r="E90" s="19" t="s">
        <v>1167</v>
      </c>
      <c r="F90" s="19"/>
      <c r="G90" s="116" t="s">
        <v>1168</v>
      </c>
      <c r="H90" s="116"/>
    </row>
    <row r="91" spans="1:8">
      <c r="A91" s="19" t="s">
        <v>1164</v>
      </c>
      <c r="B91" s="19" t="s">
        <v>1154</v>
      </c>
      <c r="C91" s="115" t="s">
        <v>1169</v>
      </c>
      <c r="D91" s="154">
        <v>91.451999999999998</v>
      </c>
      <c r="E91" s="19" t="s">
        <v>1170</v>
      </c>
      <c r="F91" s="19"/>
      <c r="G91" s="116" t="s">
        <v>1168</v>
      </c>
      <c r="H91" s="116"/>
    </row>
    <row r="92" spans="1:8">
      <c r="A92" s="19" t="s">
        <v>1164</v>
      </c>
      <c r="B92" s="19" t="s">
        <v>1002</v>
      </c>
      <c r="C92" s="115" t="s">
        <v>1171</v>
      </c>
      <c r="D92" s="158">
        <f>'Building Savings'!B44</f>
        <v>0.11760378318832776</v>
      </c>
      <c r="E92" s="19"/>
      <c r="F92" s="19" t="s">
        <v>1052</v>
      </c>
      <c r="G92" s="116" t="s">
        <v>1172</v>
      </c>
      <c r="H92" s="116"/>
    </row>
    <row r="93" spans="1:8">
      <c r="A93" s="19" t="s">
        <v>1164</v>
      </c>
      <c r="B93" s="19" t="s">
        <v>1002</v>
      </c>
      <c r="C93" s="115" t="s">
        <v>1173</v>
      </c>
      <c r="D93" s="158">
        <f>'Building Savings'!B45</f>
        <v>7.0635988996622823E-2</v>
      </c>
      <c r="E93" s="19"/>
      <c r="F93" s="19" t="s">
        <v>1052</v>
      </c>
      <c r="G93" s="116" t="s">
        <v>1172</v>
      </c>
      <c r="H93" s="116"/>
    </row>
    <row r="94" spans="1:8" s="911" customFormat="1" ht="29.1">
      <c r="A94" s="907" t="s">
        <v>1164</v>
      </c>
      <c r="B94" s="907" t="s">
        <v>1002</v>
      </c>
      <c r="C94" s="908" t="s">
        <v>1174</v>
      </c>
      <c r="D94" s="909">
        <v>0.03</v>
      </c>
      <c r="E94" s="907"/>
      <c r="F94" s="907" t="s">
        <v>1052</v>
      </c>
      <c r="G94" s="910" t="s">
        <v>1175</v>
      </c>
      <c r="H94" s="916">
        <v>45348</v>
      </c>
    </row>
    <row r="95" spans="1:8">
      <c r="A95" s="19" t="s">
        <v>1164</v>
      </c>
      <c r="B95" s="19" t="s">
        <v>1002</v>
      </c>
      <c r="C95" s="115" t="s">
        <v>1176</v>
      </c>
      <c r="D95" s="158">
        <v>0.01</v>
      </c>
      <c r="E95" s="19"/>
      <c r="F95" s="19" t="s">
        <v>1052</v>
      </c>
      <c r="G95" s="116" t="s">
        <v>1177</v>
      </c>
      <c r="H95" s="116"/>
    </row>
    <row r="96" spans="1:8" ht="29.1">
      <c r="A96" s="113" t="s">
        <v>1164</v>
      </c>
      <c r="B96" s="19" t="s">
        <v>1002</v>
      </c>
      <c r="C96" s="116" t="s">
        <v>1178</v>
      </c>
      <c r="D96" s="155">
        <v>0.28199999999999997</v>
      </c>
      <c r="E96" s="19"/>
      <c r="F96" s="19"/>
      <c r="G96" s="116" t="s">
        <v>1179</v>
      </c>
      <c r="H96" s="116"/>
    </row>
    <row r="97" spans="1:9" ht="144.94999999999999">
      <c r="A97" s="113" t="s">
        <v>1164</v>
      </c>
      <c r="B97" s="19" t="s">
        <v>1002</v>
      </c>
      <c r="C97" s="116" t="s">
        <v>1180</v>
      </c>
      <c r="D97" s="155">
        <v>0.12403086585831501</v>
      </c>
      <c r="E97" s="19"/>
      <c r="F97" s="19"/>
      <c r="G97" s="320" t="s">
        <v>1181</v>
      </c>
      <c r="H97" s="320"/>
    </row>
    <row r="98" spans="1:9" ht="101.45">
      <c r="A98" s="113" t="s">
        <v>1164</v>
      </c>
      <c r="B98" s="19" t="s">
        <v>1002</v>
      </c>
      <c r="C98" s="116" t="s">
        <v>1182</v>
      </c>
      <c r="D98" s="155">
        <v>0.20990472049100101</v>
      </c>
      <c r="E98" s="19"/>
      <c r="F98" s="19"/>
      <c r="G98" s="320" t="s">
        <v>1183</v>
      </c>
      <c r="H98" s="320"/>
    </row>
    <row r="99" spans="1:9" ht="29.1">
      <c r="A99" s="113" t="s">
        <v>1164</v>
      </c>
      <c r="B99" s="19" t="s">
        <v>898</v>
      </c>
      <c r="C99" s="116" t="s">
        <v>1184</v>
      </c>
      <c r="D99" s="155">
        <v>0.35</v>
      </c>
      <c r="E99" s="19"/>
      <c r="F99" s="19"/>
      <c r="G99" s="116" t="s">
        <v>1185</v>
      </c>
      <c r="H99" s="116"/>
      <c r="I99" s="2"/>
    </row>
    <row r="100" spans="1:9" ht="29.1">
      <c r="A100" s="113" t="s">
        <v>1164</v>
      </c>
      <c r="B100" s="19" t="s">
        <v>898</v>
      </c>
      <c r="C100" s="116" t="s">
        <v>1186</v>
      </c>
      <c r="D100" s="155">
        <v>0.26</v>
      </c>
      <c r="E100" s="19"/>
      <c r="F100" s="19"/>
      <c r="G100" s="116" t="s">
        <v>1187</v>
      </c>
      <c r="H100" s="116"/>
    </row>
    <row r="101" spans="1:9" ht="29.1">
      <c r="A101" s="113" t="s">
        <v>1164</v>
      </c>
      <c r="B101" s="19" t="s">
        <v>898</v>
      </c>
      <c r="C101" s="116" t="s">
        <v>1188</v>
      </c>
      <c r="D101" s="157">
        <v>1380</v>
      </c>
      <c r="E101" s="19"/>
      <c r="F101" s="19"/>
      <c r="G101" s="116" t="s">
        <v>1185</v>
      </c>
      <c r="H101" s="116"/>
    </row>
    <row r="102" spans="1:9" ht="29.1">
      <c r="A102" s="113" t="s">
        <v>1164</v>
      </c>
      <c r="B102" s="19" t="s">
        <v>898</v>
      </c>
      <c r="C102" s="116" t="s">
        <v>1189</v>
      </c>
      <c r="D102" s="157">
        <v>2600</v>
      </c>
      <c r="E102" s="19"/>
      <c r="F102" s="19"/>
      <c r="G102" s="116" t="s">
        <v>1187</v>
      </c>
      <c r="H102" s="116"/>
    </row>
    <row r="103" spans="1:9" ht="29.1">
      <c r="A103" s="113" t="s">
        <v>1164</v>
      </c>
      <c r="B103" s="19" t="s">
        <v>590</v>
      </c>
      <c r="C103" s="116" t="s">
        <v>1190</v>
      </c>
      <c r="D103" s="416" t="s">
        <v>1191</v>
      </c>
      <c r="E103" s="19" t="s">
        <v>1192</v>
      </c>
      <c r="F103" s="19"/>
      <c r="G103" s="116" t="s">
        <v>1193</v>
      </c>
      <c r="H103" s="116"/>
    </row>
    <row r="104" spans="1:9">
      <c r="A104" s="113" t="s">
        <v>1164</v>
      </c>
      <c r="B104" s="19" t="s">
        <v>546</v>
      </c>
      <c r="C104" s="116" t="s">
        <v>612</v>
      </c>
      <c r="D104" s="157">
        <v>15</v>
      </c>
      <c r="E104" s="19"/>
      <c r="F104" s="19"/>
      <c r="G104" s="116" t="s">
        <v>1194</v>
      </c>
      <c r="H104" s="116"/>
    </row>
    <row r="105" spans="1:9">
      <c r="A105" s="113" t="s">
        <v>1164</v>
      </c>
      <c r="B105" s="19" t="s">
        <v>546</v>
      </c>
      <c r="C105" s="116" t="s">
        <v>792</v>
      </c>
      <c r="D105" s="157">
        <v>5</v>
      </c>
      <c r="E105" s="19"/>
      <c r="F105" s="19"/>
      <c r="G105" s="116" t="s">
        <v>1195</v>
      </c>
      <c r="H105" s="116"/>
    </row>
    <row r="106" spans="1:9">
      <c r="A106" s="113" t="s">
        <v>1164</v>
      </c>
      <c r="B106" s="19" t="s">
        <v>546</v>
      </c>
      <c r="C106" s="116" t="s">
        <v>427</v>
      </c>
      <c r="D106" s="157" t="s">
        <v>1196</v>
      </c>
      <c r="E106" s="19"/>
      <c r="F106" s="19"/>
      <c r="G106" s="116" t="s">
        <v>1197</v>
      </c>
      <c r="H106" s="116"/>
    </row>
  </sheetData>
  <sheetProtection algorithmName="SHA-512" hashValue="Tz93Id5naTWig1SLmWiYuCSIroYR+M4MCnF5vkiSNptlpyTBOIZtRZxVTMoS6K02YrMEk50NvDE16m1r2RwSdg==" saltValue="u7jH9V28cnRq5AJBtsEnVA==" spinCount="100000" sheet="1" objects="1" scenarios="1"/>
  <autoFilter ref="A3:I3" xr:uid="{85342B9E-686D-4008-886C-A5B022C3A9C0}"/>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8E43E-06B8-4A37-9214-B8AF3D25A951}">
  <sheetPr codeName="Sheet13">
    <tabColor rgb="FFFF0000"/>
  </sheetPr>
  <dimension ref="A1:AY158"/>
  <sheetViews>
    <sheetView topLeftCell="A7" zoomScale="85" zoomScaleNormal="85" zoomScalePageLayoutView="70" workbookViewId="0">
      <selection activeCell="D15" sqref="D15"/>
    </sheetView>
  </sheetViews>
  <sheetFormatPr defaultColWidth="8.7109375" defaultRowHeight="14.45"/>
  <cols>
    <col min="1" max="1" width="4.42578125" style="147" customWidth="1"/>
    <col min="2" max="2" width="36.5703125" customWidth="1"/>
    <col min="3" max="3" width="11.5703125" customWidth="1"/>
    <col min="4" max="4" width="39.85546875" customWidth="1"/>
    <col min="5" max="5" width="39.140625" customWidth="1"/>
    <col min="6" max="6" width="7.28515625" style="147" customWidth="1"/>
    <col min="7" max="7" width="6.28515625" style="147" customWidth="1"/>
    <col min="8" max="8" width="20.5703125" style="276" hidden="1" customWidth="1"/>
    <col min="9" max="9" width="12.85546875" style="276" hidden="1" customWidth="1"/>
    <col min="10" max="51" width="8.7109375" style="147"/>
  </cols>
  <sheetData>
    <row r="1" spans="2:51" s="147" customFormat="1" ht="26.1">
      <c r="B1" s="150" t="s">
        <v>1198</v>
      </c>
      <c r="C1" s="275"/>
      <c r="D1" s="275"/>
      <c r="E1" s="275"/>
      <c r="F1" s="275"/>
      <c r="G1" s="275"/>
      <c r="H1" s="287"/>
      <c r="I1" s="287"/>
    </row>
    <row r="2" spans="2:51">
      <c r="B2" s="289" t="s">
        <v>620</v>
      </c>
      <c r="C2" s="1577" t="e">
        <f>#REF!</f>
        <v>#REF!</v>
      </c>
      <c r="D2" s="1577"/>
      <c r="E2" s="1577"/>
      <c r="F2" s="275"/>
      <c r="G2" s="275"/>
      <c r="H2" s="275"/>
      <c r="I2" s="147"/>
      <c r="K2"/>
      <c r="L2"/>
      <c r="M2"/>
      <c r="N2"/>
      <c r="O2"/>
      <c r="P2"/>
      <c r="Q2"/>
      <c r="R2"/>
      <c r="S2"/>
      <c r="T2"/>
      <c r="U2"/>
      <c r="V2"/>
      <c r="W2"/>
      <c r="X2"/>
      <c r="Y2"/>
      <c r="Z2"/>
      <c r="AA2"/>
      <c r="AB2"/>
      <c r="AC2"/>
      <c r="AD2"/>
      <c r="AE2"/>
      <c r="AF2"/>
      <c r="AG2"/>
      <c r="AH2"/>
      <c r="AI2"/>
      <c r="AJ2"/>
      <c r="AK2"/>
      <c r="AL2"/>
      <c r="AM2"/>
      <c r="AN2"/>
      <c r="AO2"/>
      <c r="AP2"/>
      <c r="AQ2"/>
      <c r="AR2"/>
      <c r="AS2"/>
      <c r="AT2"/>
      <c r="AU2"/>
      <c r="AV2"/>
      <c r="AW2"/>
      <c r="AX2"/>
      <c r="AY2"/>
    </row>
    <row r="3" spans="2:51">
      <c r="B3" s="289" t="s">
        <v>1199</v>
      </c>
      <c r="C3" s="1577" t="e">
        <f>#REF!</f>
        <v>#REF!</v>
      </c>
      <c r="D3" s="1577"/>
      <c r="E3" s="1577"/>
      <c r="F3" s="275"/>
      <c r="G3" s="275"/>
      <c r="H3" s="275"/>
      <c r="I3" s="147"/>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2:51" s="147" customFormat="1" ht="45" customHeight="1">
      <c r="B4" s="1754" t="s">
        <v>1200</v>
      </c>
      <c r="C4" s="1754"/>
      <c r="D4" s="1754"/>
      <c r="E4" s="1754"/>
      <c r="F4" s="282"/>
      <c r="G4" s="275"/>
      <c r="H4" s="287"/>
      <c r="I4" s="287"/>
    </row>
    <row r="5" spans="2:51" s="147" customFormat="1" ht="30.95" customHeight="1">
      <c r="B5" s="1840" t="s">
        <v>1201</v>
      </c>
      <c r="C5" s="1840"/>
      <c r="D5" s="1840"/>
      <c r="E5" s="1840"/>
      <c r="F5" s="283"/>
      <c r="G5" s="275"/>
      <c r="H5" s="287"/>
      <c r="I5" s="287"/>
    </row>
    <row r="6" spans="2:51" s="147" customFormat="1" ht="14.45" customHeight="1">
      <c r="B6" s="281"/>
      <c r="C6" s="281"/>
      <c r="D6" s="281"/>
      <c r="E6" s="281"/>
      <c r="F6" s="281"/>
      <c r="G6" s="275"/>
      <c r="H6" s="287"/>
      <c r="I6" s="287"/>
    </row>
    <row r="7" spans="2:51" s="147" customFormat="1" ht="14.45" customHeight="1">
      <c r="B7" s="146" t="s">
        <v>1202</v>
      </c>
      <c r="H7" s="276"/>
      <c r="I7" s="276"/>
    </row>
    <row r="8" spans="2:51" ht="14.45" customHeight="1">
      <c r="B8" s="1841" t="s">
        <v>1203</v>
      </c>
      <c r="C8" s="1841" t="s">
        <v>1204</v>
      </c>
      <c r="D8" s="1843" t="s">
        <v>1205</v>
      </c>
      <c r="E8" s="1844"/>
      <c r="F8" s="285"/>
    </row>
    <row r="9" spans="2:51">
      <c r="B9" s="1842"/>
      <c r="C9" s="1842"/>
      <c r="D9" s="279" t="s">
        <v>1206</v>
      </c>
      <c r="E9" s="279" t="s">
        <v>1207</v>
      </c>
      <c r="F9" s="285"/>
    </row>
    <row r="10" spans="2:51" ht="57.95">
      <c r="B10" s="277" t="s">
        <v>342</v>
      </c>
      <c r="C10" s="280" t="str">
        <f>IFERROR(IF(I10=1,"Included","-"),"-")</f>
        <v>-</v>
      </c>
      <c r="D10" s="284" t="s">
        <v>1208</v>
      </c>
      <c r="E10" s="284" t="s">
        <v>1209</v>
      </c>
      <c r="F10" s="286"/>
      <c r="H10" s="288" t="s">
        <v>342</v>
      </c>
      <c r="I10" s="276">
        <f>IFERROR(IF(SUM(#REF!)&gt;0,1,0)*#REF!,0)</f>
        <v>0</v>
      </c>
    </row>
    <row r="11" spans="2:51" ht="57.95">
      <c r="B11" s="277" t="s">
        <v>145</v>
      </c>
      <c r="C11" s="280" t="str">
        <f t="shared" ref="C11:C18" si="0">IFERROR(IF(I11=1,"Included","-"),"-")</f>
        <v>-</v>
      </c>
      <c r="D11" s="284" t="s">
        <v>1210</v>
      </c>
      <c r="E11" s="284" t="s">
        <v>1211</v>
      </c>
      <c r="F11" s="286"/>
      <c r="H11" s="278" t="s">
        <v>345</v>
      </c>
      <c r="I11" s="276">
        <f>IFERROR(IF(SUM(#REF!)&gt;0,1,0)*#REF!,0)</f>
        <v>0</v>
      </c>
    </row>
    <row r="12" spans="2:51" ht="43.5">
      <c r="B12" s="277" t="s">
        <v>160</v>
      </c>
      <c r="C12" s="280" t="str">
        <f t="shared" si="0"/>
        <v>-</v>
      </c>
      <c r="D12" s="284" t="s">
        <v>1212</v>
      </c>
      <c r="E12" s="284" t="s">
        <v>1213</v>
      </c>
      <c r="F12" s="286"/>
      <c r="H12" s="278" t="s">
        <v>160</v>
      </c>
      <c r="I12" s="276">
        <f>IFERROR(IF(SUM(#REF!)&gt;0,1,0)*#REF!,0)</f>
        <v>0</v>
      </c>
    </row>
    <row r="13" spans="2:51" ht="101.45" customHeight="1">
      <c r="B13" s="277" t="s">
        <v>1214</v>
      </c>
      <c r="C13" s="280" t="str">
        <f t="shared" si="0"/>
        <v>-</v>
      </c>
      <c r="D13" s="284" t="s">
        <v>1215</v>
      </c>
      <c r="E13" s="284" t="s">
        <v>1216</v>
      </c>
      <c r="F13" s="286"/>
      <c r="H13" s="278" t="s">
        <v>175</v>
      </c>
      <c r="I13" s="276">
        <f>IFERROR(IF(SUM(#REF!)&gt;0,1,0)*#REF!,0)</f>
        <v>0</v>
      </c>
    </row>
    <row r="14" spans="2:51" ht="43.5">
      <c r="B14" s="277" t="s">
        <v>151</v>
      </c>
      <c r="C14" s="280" t="str">
        <f t="shared" si="0"/>
        <v>-</v>
      </c>
      <c r="D14" s="284" t="s">
        <v>1217</v>
      </c>
      <c r="E14" s="284" t="s">
        <v>1218</v>
      </c>
      <c r="F14" s="286"/>
      <c r="H14" s="278" t="s">
        <v>151</v>
      </c>
      <c r="I14" s="276">
        <f>IFERROR(IF(SUM(#REF!)&gt;0,1,0)*#REF!,0)</f>
        <v>0</v>
      </c>
    </row>
    <row r="15" spans="2:51" ht="69" customHeight="1">
      <c r="B15" s="277" t="s">
        <v>1219</v>
      </c>
      <c r="C15" s="280" t="str">
        <f t="shared" si="0"/>
        <v>-</v>
      </c>
      <c r="D15" s="284" t="s">
        <v>1220</v>
      </c>
      <c r="E15" s="284" t="s">
        <v>1221</v>
      </c>
      <c r="F15" s="286"/>
      <c r="H15" s="278" t="s">
        <v>349</v>
      </c>
      <c r="I15" s="276">
        <f>IFERROR(IF(SUM(#REF!)&gt;0,1,0)*#REF!,0)</f>
        <v>0</v>
      </c>
    </row>
    <row r="16" spans="2:51" ht="101.45">
      <c r="B16" s="277" t="s">
        <v>177</v>
      </c>
      <c r="C16" s="280" t="str">
        <f t="shared" si="0"/>
        <v>-</v>
      </c>
      <c r="D16" s="284" t="s">
        <v>1222</v>
      </c>
      <c r="E16" s="284" t="s">
        <v>1223</v>
      </c>
      <c r="F16" s="286"/>
      <c r="H16" s="278" t="s">
        <v>177</v>
      </c>
      <c r="I16" s="276">
        <f>IFERROR(IF(SUM(#REF!)&gt;0,1,0)*#REF!,0)</f>
        <v>0</v>
      </c>
    </row>
    <row r="17" spans="2:9" ht="87">
      <c r="B17" s="277" t="s">
        <v>1224</v>
      </c>
      <c r="C17" s="280" t="str">
        <f t="shared" si="0"/>
        <v>-</v>
      </c>
      <c r="D17" s="284" t="s">
        <v>1225</v>
      </c>
      <c r="E17" s="284" t="s">
        <v>1226</v>
      </c>
      <c r="F17" s="286"/>
      <c r="H17" s="278" t="s">
        <v>352</v>
      </c>
      <c r="I17" s="276">
        <f>IFERROR(IF(SUM(#REF!)&gt;0,1,0)*#REF!,0)</f>
        <v>0</v>
      </c>
    </row>
    <row r="18" spans="2:9" ht="101.45">
      <c r="B18" s="277" t="s">
        <v>162</v>
      </c>
      <c r="C18" s="280" t="str">
        <f t="shared" si="0"/>
        <v>-</v>
      </c>
      <c r="D18" s="284" t="s">
        <v>1227</v>
      </c>
      <c r="E18" s="284" t="s">
        <v>1228</v>
      </c>
      <c r="F18" s="286"/>
      <c r="H18" s="278" t="s">
        <v>162</v>
      </c>
      <c r="I18" s="276">
        <f>IFERROR(IF(SUM(#REF!)&gt;0,1,0)*#REF!,0)</f>
        <v>0</v>
      </c>
    </row>
    <row r="19" spans="2:9" s="147" customFormat="1">
      <c r="H19" s="276"/>
      <c r="I19" s="276"/>
    </row>
    <row r="20" spans="2:9" s="147" customFormat="1">
      <c r="H20" s="276"/>
      <c r="I20" s="276"/>
    </row>
    <row r="21" spans="2:9" s="147" customFormat="1">
      <c r="H21" s="276"/>
      <c r="I21" s="276"/>
    </row>
    <row r="22" spans="2:9" s="147" customFormat="1">
      <c r="H22" s="276"/>
      <c r="I22" s="276"/>
    </row>
    <row r="23" spans="2:9" s="147" customFormat="1">
      <c r="H23" s="276"/>
      <c r="I23" s="276"/>
    </row>
    <row r="24" spans="2:9" s="147" customFormat="1">
      <c r="H24" s="276"/>
      <c r="I24" s="276"/>
    </row>
    <row r="25" spans="2:9" s="147" customFormat="1">
      <c r="H25" s="276"/>
      <c r="I25" s="276"/>
    </row>
    <row r="26" spans="2:9" s="147" customFormat="1">
      <c r="H26" s="276"/>
      <c r="I26" s="276"/>
    </row>
    <row r="27" spans="2:9" s="147" customFormat="1">
      <c r="H27" s="276"/>
      <c r="I27" s="276"/>
    </row>
    <row r="28" spans="2:9" s="147" customFormat="1">
      <c r="H28" s="276"/>
      <c r="I28" s="276"/>
    </row>
    <row r="29" spans="2:9" s="147" customFormat="1">
      <c r="H29" s="276"/>
      <c r="I29" s="276"/>
    </row>
    <row r="30" spans="2:9" s="147" customFormat="1">
      <c r="H30" s="276"/>
      <c r="I30" s="276"/>
    </row>
    <row r="31" spans="2:9" s="147" customFormat="1">
      <c r="H31" s="276"/>
      <c r="I31" s="276"/>
    </row>
    <row r="32" spans="2:9" s="147" customFormat="1">
      <c r="H32" s="276"/>
      <c r="I32" s="276"/>
    </row>
    <row r="33" spans="8:9" s="147" customFormat="1">
      <c r="H33" s="276"/>
      <c r="I33" s="276"/>
    </row>
    <row r="34" spans="8:9" s="147" customFormat="1">
      <c r="H34" s="276"/>
      <c r="I34" s="276"/>
    </row>
    <row r="35" spans="8:9" s="147" customFormat="1">
      <c r="H35" s="276"/>
      <c r="I35" s="276"/>
    </row>
    <row r="36" spans="8:9" s="147" customFormat="1">
      <c r="H36" s="276"/>
      <c r="I36" s="276"/>
    </row>
    <row r="37" spans="8:9" s="147" customFormat="1">
      <c r="H37" s="276"/>
      <c r="I37" s="276"/>
    </row>
    <row r="38" spans="8:9" s="147" customFormat="1">
      <c r="H38" s="276"/>
      <c r="I38" s="276"/>
    </row>
    <row r="39" spans="8:9" s="147" customFormat="1">
      <c r="H39" s="276"/>
      <c r="I39" s="276"/>
    </row>
    <row r="40" spans="8:9" s="147" customFormat="1">
      <c r="H40" s="276"/>
      <c r="I40" s="276"/>
    </row>
    <row r="41" spans="8:9" s="147" customFormat="1">
      <c r="H41" s="276"/>
      <c r="I41" s="276"/>
    </row>
    <row r="42" spans="8:9" s="147" customFormat="1">
      <c r="H42" s="276"/>
      <c r="I42" s="276"/>
    </row>
    <row r="43" spans="8:9" s="147" customFormat="1">
      <c r="H43" s="276"/>
      <c r="I43" s="276"/>
    </row>
    <row r="44" spans="8:9" s="147" customFormat="1">
      <c r="H44" s="276"/>
      <c r="I44" s="276"/>
    </row>
    <row r="45" spans="8:9" s="147" customFormat="1">
      <c r="H45" s="276"/>
      <c r="I45" s="276"/>
    </row>
    <row r="46" spans="8:9" s="147" customFormat="1">
      <c r="H46" s="276"/>
      <c r="I46" s="276"/>
    </row>
    <row r="47" spans="8:9" s="147" customFormat="1">
      <c r="H47" s="276"/>
      <c r="I47" s="276"/>
    </row>
    <row r="48" spans="8:9" s="147" customFormat="1">
      <c r="H48" s="276"/>
      <c r="I48" s="276"/>
    </row>
    <row r="49" spans="8:9" s="147" customFormat="1">
      <c r="H49" s="276"/>
      <c r="I49" s="276"/>
    </row>
    <row r="50" spans="8:9" s="147" customFormat="1">
      <c r="H50" s="276"/>
      <c r="I50" s="276"/>
    </row>
    <row r="51" spans="8:9" s="147" customFormat="1">
      <c r="H51" s="276"/>
      <c r="I51" s="276"/>
    </row>
    <row r="52" spans="8:9" s="147" customFormat="1">
      <c r="H52" s="276"/>
      <c r="I52" s="276"/>
    </row>
    <row r="53" spans="8:9" s="147" customFormat="1">
      <c r="H53" s="276"/>
      <c r="I53" s="276"/>
    </row>
    <row r="54" spans="8:9" s="147" customFormat="1">
      <c r="H54" s="276"/>
      <c r="I54" s="276"/>
    </row>
    <row r="55" spans="8:9" s="147" customFormat="1">
      <c r="H55" s="276"/>
      <c r="I55" s="276"/>
    </row>
    <row r="56" spans="8:9" s="147" customFormat="1">
      <c r="H56" s="276"/>
      <c r="I56" s="276"/>
    </row>
    <row r="57" spans="8:9" s="147" customFormat="1">
      <c r="H57" s="276"/>
      <c r="I57" s="276"/>
    </row>
    <row r="58" spans="8:9" s="147" customFormat="1">
      <c r="H58" s="276"/>
      <c r="I58" s="276"/>
    </row>
    <row r="59" spans="8:9" s="147" customFormat="1">
      <c r="H59" s="276"/>
      <c r="I59" s="276"/>
    </row>
    <row r="60" spans="8:9" s="147" customFormat="1">
      <c r="H60" s="276"/>
      <c r="I60" s="276"/>
    </row>
    <row r="61" spans="8:9" s="147" customFormat="1">
      <c r="H61" s="276"/>
      <c r="I61" s="276"/>
    </row>
    <row r="62" spans="8:9" s="147" customFormat="1">
      <c r="H62" s="276"/>
      <c r="I62" s="276"/>
    </row>
    <row r="63" spans="8:9" s="147" customFormat="1">
      <c r="H63" s="276"/>
      <c r="I63" s="276"/>
    </row>
    <row r="64" spans="8:9" s="147" customFormat="1">
      <c r="H64" s="276"/>
      <c r="I64" s="276"/>
    </row>
    <row r="65" spans="8:9" s="147" customFormat="1">
      <c r="H65" s="276"/>
      <c r="I65" s="276"/>
    </row>
    <row r="66" spans="8:9" s="147" customFormat="1">
      <c r="H66" s="276"/>
      <c r="I66" s="276"/>
    </row>
    <row r="67" spans="8:9" s="147" customFormat="1">
      <c r="H67" s="276"/>
      <c r="I67" s="276"/>
    </row>
    <row r="68" spans="8:9" s="147" customFormat="1">
      <c r="H68" s="276"/>
      <c r="I68" s="276"/>
    </row>
    <row r="69" spans="8:9" s="147" customFormat="1">
      <c r="H69" s="276"/>
      <c r="I69" s="276"/>
    </row>
    <row r="70" spans="8:9" s="147" customFormat="1">
      <c r="H70" s="276"/>
      <c r="I70" s="276"/>
    </row>
    <row r="71" spans="8:9" s="147" customFormat="1">
      <c r="H71" s="276"/>
      <c r="I71" s="276"/>
    </row>
    <row r="72" spans="8:9" s="147" customFormat="1">
      <c r="H72" s="276"/>
      <c r="I72" s="276"/>
    </row>
    <row r="73" spans="8:9" s="147" customFormat="1">
      <c r="H73" s="276"/>
      <c r="I73" s="276"/>
    </row>
    <row r="74" spans="8:9" s="147" customFormat="1">
      <c r="H74" s="276"/>
      <c r="I74" s="276"/>
    </row>
    <row r="75" spans="8:9" s="147" customFormat="1">
      <c r="H75" s="276"/>
      <c r="I75" s="276"/>
    </row>
    <row r="76" spans="8:9" s="147" customFormat="1">
      <c r="H76" s="276"/>
      <c r="I76" s="276"/>
    </row>
    <row r="77" spans="8:9" s="147" customFormat="1">
      <c r="H77" s="276"/>
      <c r="I77" s="276"/>
    </row>
    <row r="78" spans="8:9" s="147" customFormat="1">
      <c r="H78" s="276"/>
      <c r="I78" s="276"/>
    </row>
    <row r="79" spans="8:9" s="147" customFormat="1">
      <c r="H79" s="276"/>
      <c r="I79" s="276"/>
    </row>
    <row r="80" spans="8:9" s="147" customFormat="1">
      <c r="H80" s="276"/>
      <c r="I80" s="276"/>
    </row>
    <row r="81" spans="8:9" s="147" customFormat="1">
      <c r="H81" s="276"/>
      <c r="I81" s="276"/>
    </row>
    <row r="82" spans="8:9" s="147" customFormat="1">
      <c r="H82" s="276"/>
      <c r="I82" s="276"/>
    </row>
    <row r="83" spans="8:9" s="147" customFormat="1">
      <c r="H83" s="276"/>
      <c r="I83" s="276"/>
    </row>
    <row r="84" spans="8:9" s="147" customFormat="1">
      <c r="H84" s="276"/>
      <c r="I84" s="276"/>
    </row>
    <row r="85" spans="8:9" s="147" customFormat="1">
      <c r="H85" s="276"/>
      <c r="I85" s="276"/>
    </row>
    <row r="86" spans="8:9" s="147" customFormat="1">
      <c r="H86" s="276"/>
      <c r="I86" s="276"/>
    </row>
    <row r="87" spans="8:9" s="147" customFormat="1">
      <c r="H87" s="276"/>
      <c r="I87" s="276"/>
    </row>
    <row r="88" spans="8:9" s="147" customFormat="1">
      <c r="H88" s="276"/>
      <c r="I88" s="276"/>
    </row>
    <row r="89" spans="8:9" s="147" customFormat="1">
      <c r="H89" s="276"/>
      <c r="I89" s="276"/>
    </row>
    <row r="90" spans="8:9" s="147" customFormat="1">
      <c r="H90" s="276"/>
      <c r="I90" s="276"/>
    </row>
    <row r="91" spans="8:9" s="147" customFormat="1">
      <c r="H91" s="276"/>
      <c r="I91" s="276"/>
    </row>
    <row r="92" spans="8:9" s="147" customFormat="1">
      <c r="H92" s="276"/>
      <c r="I92" s="276"/>
    </row>
    <row r="93" spans="8:9" s="147" customFormat="1">
      <c r="H93" s="276"/>
      <c r="I93" s="276"/>
    </row>
    <row r="94" spans="8:9" s="147" customFormat="1">
      <c r="H94" s="276"/>
      <c r="I94" s="276"/>
    </row>
    <row r="95" spans="8:9" s="147" customFormat="1">
      <c r="H95" s="276"/>
      <c r="I95" s="276"/>
    </row>
    <row r="96" spans="8:9" s="147" customFormat="1">
      <c r="H96" s="276"/>
      <c r="I96" s="276"/>
    </row>
    <row r="97" spans="8:9" s="147" customFormat="1">
      <c r="H97" s="276"/>
      <c r="I97" s="276"/>
    </row>
    <row r="98" spans="8:9" s="147" customFormat="1">
      <c r="H98" s="276"/>
      <c r="I98" s="276"/>
    </row>
    <row r="99" spans="8:9" s="147" customFormat="1">
      <c r="H99" s="276"/>
      <c r="I99" s="276"/>
    </row>
    <row r="100" spans="8:9" s="147" customFormat="1">
      <c r="H100" s="276"/>
      <c r="I100" s="276"/>
    </row>
    <row r="101" spans="8:9" s="147" customFormat="1">
      <c r="H101" s="276"/>
      <c r="I101" s="276"/>
    </row>
    <row r="102" spans="8:9" s="147" customFormat="1">
      <c r="H102" s="276"/>
      <c r="I102" s="276"/>
    </row>
    <row r="103" spans="8:9" s="147" customFormat="1">
      <c r="H103" s="276"/>
      <c r="I103" s="276"/>
    </row>
    <row r="104" spans="8:9" s="147" customFormat="1">
      <c r="H104" s="276"/>
      <c r="I104" s="276"/>
    </row>
    <row r="105" spans="8:9" s="147" customFormat="1">
      <c r="H105" s="276"/>
      <c r="I105" s="276"/>
    </row>
    <row r="106" spans="8:9" s="147" customFormat="1">
      <c r="H106" s="276"/>
      <c r="I106" s="276"/>
    </row>
    <row r="107" spans="8:9" s="147" customFormat="1">
      <c r="H107" s="276"/>
      <c r="I107" s="276"/>
    </row>
    <row r="108" spans="8:9" s="147" customFormat="1">
      <c r="H108" s="276"/>
      <c r="I108" s="276"/>
    </row>
    <row r="109" spans="8:9" s="147" customFormat="1">
      <c r="H109" s="276"/>
      <c r="I109" s="276"/>
    </row>
    <row r="110" spans="8:9" s="147" customFormat="1">
      <c r="H110" s="276"/>
      <c r="I110" s="276"/>
    </row>
    <row r="111" spans="8:9" s="147" customFormat="1">
      <c r="H111" s="276"/>
      <c r="I111" s="276"/>
    </row>
    <row r="112" spans="8:9" s="147" customFormat="1">
      <c r="H112" s="276"/>
      <c r="I112" s="276"/>
    </row>
    <row r="113" spans="8:9" s="147" customFormat="1">
      <c r="H113" s="276"/>
      <c r="I113" s="276"/>
    </row>
    <row r="114" spans="8:9" s="147" customFormat="1">
      <c r="H114" s="276"/>
      <c r="I114" s="276"/>
    </row>
    <row r="115" spans="8:9" s="147" customFormat="1">
      <c r="H115" s="276"/>
      <c r="I115" s="276"/>
    </row>
    <row r="116" spans="8:9" s="147" customFormat="1">
      <c r="H116" s="276"/>
      <c r="I116" s="276"/>
    </row>
    <row r="117" spans="8:9" s="147" customFormat="1">
      <c r="H117" s="276"/>
      <c r="I117" s="276"/>
    </row>
    <row r="118" spans="8:9" s="147" customFormat="1">
      <c r="H118" s="276"/>
      <c r="I118" s="276"/>
    </row>
    <row r="119" spans="8:9" s="147" customFormat="1">
      <c r="H119" s="276"/>
      <c r="I119" s="276"/>
    </row>
    <row r="120" spans="8:9" s="147" customFormat="1">
      <c r="H120" s="276"/>
      <c r="I120" s="276"/>
    </row>
    <row r="121" spans="8:9" s="147" customFormat="1">
      <c r="H121" s="276"/>
      <c r="I121" s="276"/>
    </row>
    <row r="122" spans="8:9" s="147" customFormat="1">
      <c r="H122" s="276"/>
      <c r="I122" s="276"/>
    </row>
    <row r="123" spans="8:9" s="147" customFormat="1">
      <c r="H123" s="276"/>
      <c r="I123" s="276"/>
    </row>
    <row r="124" spans="8:9" s="147" customFormat="1">
      <c r="H124" s="276"/>
      <c r="I124" s="276"/>
    </row>
    <row r="125" spans="8:9" s="147" customFormat="1">
      <c r="H125" s="276"/>
      <c r="I125" s="276"/>
    </row>
    <row r="126" spans="8:9" s="147" customFormat="1">
      <c r="H126" s="276"/>
      <c r="I126" s="276"/>
    </row>
    <row r="127" spans="8:9" s="147" customFormat="1">
      <c r="H127" s="276"/>
      <c r="I127" s="276"/>
    </row>
    <row r="128" spans="8:9" s="147" customFormat="1">
      <c r="H128" s="276"/>
      <c r="I128" s="276"/>
    </row>
    <row r="129" spans="8:9" s="147" customFormat="1">
      <c r="H129" s="276"/>
      <c r="I129" s="276"/>
    </row>
    <row r="130" spans="8:9" s="147" customFormat="1">
      <c r="H130" s="276"/>
      <c r="I130" s="276"/>
    </row>
    <row r="131" spans="8:9" s="147" customFormat="1">
      <c r="H131" s="276"/>
      <c r="I131" s="276"/>
    </row>
    <row r="132" spans="8:9" s="147" customFormat="1">
      <c r="H132" s="276"/>
      <c r="I132" s="276"/>
    </row>
    <row r="133" spans="8:9" s="147" customFormat="1">
      <c r="H133" s="276"/>
      <c r="I133" s="276"/>
    </row>
    <row r="134" spans="8:9" s="147" customFormat="1">
      <c r="H134" s="276"/>
      <c r="I134" s="276"/>
    </row>
    <row r="135" spans="8:9" s="147" customFormat="1">
      <c r="H135" s="276"/>
      <c r="I135" s="276"/>
    </row>
    <row r="136" spans="8:9" s="147" customFormat="1">
      <c r="H136" s="276"/>
      <c r="I136" s="276"/>
    </row>
    <row r="137" spans="8:9" s="147" customFormat="1">
      <c r="H137" s="276"/>
      <c r="I137" s="276"/>
    </row>
    <row r="138" spans="8:9" s="147" customFormat="1">
      <c r="H138" s="276"/>
      <c r="I138" s="276"/>
    </row>
    <row r="139" spans="8:9" s="147" customFormat="1">
      <c r="H139" s="276"/>
      <c r="I139" s="276"/>
    </row>
    <row r="140" spans="8:9" s="147" customFormat="1">
      <c r="H140" s="276"/>
      <c r="I140" s="276"/>
    </row>
    <row r="141" spans="8:9" s="147" customFormat="1">
      <c r="H141" s="276"/>
      <c r="I141" s="276"/>
    </row>
    <row r="142" spans="8:9" s="147" customFormat="1">
      <c r="H142" s="276"/>
      <c r="I142" s="276"/>
    </row>
    <row r="143" spans="8:9" s="147" customFormat="1">
      <c r="H143" s="276"/>
      <c r="I143" s="276"/>
    </row>
    <row r="144" spans="8:9" s="147" customFormat="1">
      <c r="H144" s="276"/>
      <c r="I144" s="276"/>
    </row>
    <row r="145" spans="8:9" s="147" customFormat="1">
      <c r="H145" s="276"/>
      <c r="I145" s="276"/>
    </row>
    <row r="146" spans="8:9" s="147" customFormat="1">
      <c r="H146" s="276"/>
      <c r="I146" s="276"/>
    </row>
    <row r="147" spans="8:9" s="147" customFormat="1">
      <c r="H147" s="276"/>
      <c r="I147" s="276"/>
    </row>
    <row r="148" spans="8:9" s="147" customFormat="1">
      <c r="H148" s="276"/>
      <c r="I148" s="276"/>
    </row>
    <row r="149" spans="8:9" s="147" customFormat="1">
      <c r="H149" s="276"/>
      <c r="I149" s="276"/>
    </row>
    <row r="150" spans="8:9" s="147" customFormat="1">
      <c r="H150" s="276"/>
      <c r="I150" s="276"/>
    </row>
    <row r="151" spans="8:9" s="147" customFormat="1">
      <c r="H151" s="276"/>
      <c r="I151" s="276"/>
    </row>
    <row r="152" spans="8:9" s="147" customFormat="1">
      <c r="H152" s="276"/>
      <c r="I152" s="276"/>
    </row>
    <row r="153" spans="8:9" s="147" customFormat="1">
      <c r="H153" s="276"/>
      <c r="I153" s="276"/>
    </row>
    <row r="154" spans="8:9" s="147" customFormat="1">
      <c r="H154" s="276"/>
      <c r="I154" s="276"/>
    </row>
    <row r="155" spans="8:9" s="147" customFormat="1">
      <c r="H155" s="276"/>
      <c r="I155" s="276"/>
    </row>
    <row r="156" spans="8:9" s="147" customFormat="1">
      <c r="H156" s="276"/>
      <c r="I156" s="276"/>
    </row>
    <row r="157" spans="8:9" s="147" customFormat="1">
      <c r="H157" s="276"/>
      <c r="I157" s="276"/>
    </row>
    <row r="158" spans="8:9" s="147" customFormat="1">
      <c r="H158" s="276"/>
      <c r="I158" s="276"/>
    </row>
  </sheetData>
  <mergeCells count="7">
    <mergeCell ref="C3:E3"/>
    <mergeCell ref="C2:E2"/>
    <mergeCell ref="B4:E4"/>
    <mergeCell ref="B5:E5"/>
    <mergeCell ref="B8:B9"/>
    <mergeCell ref="C8:C9"/>
    <mergeCell ref="D8:E8"/>
  </mergeCells>
  <conditionalFormatting sqref="D10:E18">
    <cfRule type="expression" dxfId="1" priority="41">
      <formula>#REF!=0</formula>
    </cfRule>
  </conditionalFormatting>
  <conditionalFormatting sqref="B10:E18">
    <cfRule type="expression" dxfId="0" priority="1">
      <formula>$I10=0</formula>
    </cfRule>
  </conditionalFormatting>
  <pageMargins left="0.7" right="0.7" top="0.75" bottom="0.75" header="0.3" footer="0.3"/>
  <pageSetup scale="60" orientation="portrait" r:id="rId1"/>
  <headerFooter>
    <oddHeader>&amp;L&amp;D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E650E-4252-467E-9A31-600A3211F1EE}">
  <sheetPr codeName="Sheet3">
    <tabColor rgb="FF92D050"/>
  </sheetPr>
  <dimension ref="A1:P45"/>
  <sheetViews>
    <sheetView topLeftCell="A17" zoomScaleNormal="100" workbookViewId="0">
      <selection activeCell="B44" sqref="B44"/>
    </sheetView>
  </sheetViews>
  <sheetFormatPr defaultColWidth="8.7109375" defaultRowHeight="14.45"/>
  <cols>
    <col min="1" max="1" width="19.7109375" bestFit="1" customWidth="1"/>
    <col min="2" max="2" width="16.140625" bestFit="1" customWidth="1"/>
    <col min="3" max="3" width="17.7109375" bestFit="1" customWidth="1"/>
    <col min="4" max="4" width="28.5703125" bestFit="1" customWidth="1"/>
    <col min="5" max="5" width="16.140625" bestFit="1" customWidth="1"/>
    <col min="6" max="6" width="32" bestFit="1" customWidth="1"/>
    <col min="7" max="7" width="22.42578125" bestFit="1" customWidth="1"/>
    <col min="8" max="8" width="12.5703125" customWidth="1"/>
    <col min="9" max="11" width="9.7109375" customWidth="1"/>
    <col min="12" max="12" width="10.7109375" bestFit="1" customWidth="1"/>
    <col min="13" max="14" width="10.42578125" customWidth="1"/>
  </cols>
  <sheetData>
    <row r="1" spans="1:14" ht="15.6">
      <c r="A1" t="s">
        <v>1229</v>
      </c>
    </row>
    <row r="2" spans="1:14" ht="15" thickBot="1"/>
    <row r="3" spans="1:14" ht="41.45" customHeight="1">
      <c r="A3" s="100"/>
      <c r="B3" s="169"/>
      <c r="C3" s="169"/>
      <c r="D3" s="264"/>
      <c r="E3" s="1846" t="s">
        <v>1230</v>
      </c>
      <c r="F3" s="1847"/>
      <c r="G3" s="1848"/>
      <c r="H3" s="1846" t="s">
        <v>1231</v>
      </c>
      <c r="I3" s="1847"/>
      <c r="J3" s="1847"/>
      <c r="K3" s="1847"/>
      <c r="L3" s="1849"/>
      <c r="M3" s="100" t="s">
        <v>1232</v>
      </c>
      <c r="N3" s="101"/>
    </row>
    <row r="4" spans="1:14" s="20" customFormat="1" ht="43.5">
      <c r="A4" s="104" t="s">
        <v>1233</v>
      </c>
      <c r="B4" s="102" t="s">
        <v>1234</v>
      </c>
      <c r="C4" s="102" t="s">
        <v>1235</v>
      </c>
      <c r="D4" s="103" t="s">
        <v>1236</v>
      </c>
      <c r="E4" s="104" t="s">
        <v>1237</v>
      </c>
      <c r="F4" s="102" t="s">
        <v>1238</v>
      </c>
      <c r="G4" s="103" t="s">
        <v>1239</v>
      </c>
      <c r="H4" s="104" t="s">
        <v>1237</v>
      </c>
      <c r="I4" s="102" t="s">
        <v>1238</v>
      </c>
      <c r="J4" s="102" t="s">
        <v>1240</v>
      </c>
      <c r="K4" s="102" t="s">
        <v>1241</v>
      </c>
      <c r="L4" s="105" t="s">
        <v>1242</v>
      </c>
      <c r="M4" s="104" t="s">
        <v>1243</v>
      </c>
      <c r="N4" s="105" t="s">
        <v>1244</v>
      </c>
    </row>
    <row r="5" spans="1:14">
      <c r="A5" s="24">
        <v>1</v>
      </c>
      <c r="B5" s="5" t="s">
        <v>1245</v>
      </c>
      <c r="C5" s="84">
        <v>32000</v>
      </c>
      <c r="D5" s="87" t="s">
        <v>1246</v>
      </c>
      <c r="E5" s="90">
        <v>352680</v>
      </c>
      <c r="F5" s="84">
        <v>367728</v>
      </c>
      <c r="G5" s="106">
        <f>E5-F5</f>
        <v>-15048</v>
      </c>
      <c r="H5" s="90"/>
      <c r="I5" s="84"/>
      <c r="J5" s="84"/>
      <c r="K5" s="84"/>
      <c r="L5" s="91"/>
      <c r="M5" s="93">
        <f t="shared" ref="M5:M21" si="0">E5/C5</f>
        <v>11.02125</v>
      </c>
      <c r="N5" s="94">
        <f>J5/C5</f>
        <v>0</v>
      </c>
    </row>
    <row r="6" spans="1:14">
      <c r="A6" s="24">
        <v>2</v>
      </c>
      <c r="B6" s="5" t="s">
        <v>1245</v>
      </c>
      <c r="C6" s="84">
        <v>27500</v>
      </c>
      <c r="D6" s="87" t="s">
        <v>1246</v>
      </c>
      <c r="E6" s="90">
        <v>373056</v>
      </c>
      <c r="F6" s="84">
        <v>248460</v>
      </c>
      <c r="G6" s="106">
        <f>E6-F6</f>
        <v>124596</v>
      </c>
      <c r="H6" s="90"/>
      <c r="I6" s="84"/>
      <c r="J6" s="84"/>
      <c r="K6" s="84"/>
      <c r="L6" s="91"/>
      <c r="M6" s="93">
        <f t="shared" si="0"/>
        <v>13.565672727272727</v>
      </c>
      <c r="N6" s="94">
        <f t="shared" ref="N6:N29" si="1">J6/C6</f>
        <v>0</v>
      </c>
    </row>
    <row r="7" spans="1:14">
      <c r="A7" s="24">
        <v>3</v>
      </c>
      <c r="B7" s="5" t="s">
        <v>1245</v>
      </c>
      <c r="C7" s="84">
        <v>31900</v>
      </c>
      <c r="D7" s="87" t="s">
        <v>1246</v>
      </c>
      <c r="E7" s="90">
        <v>315460</v>
      </c>
      <c r="F7" s="84">
        <v>232320</v>
      </c>
      <c r="G7" s="106">
        <f t="shared" ref="G7:G20" si="2">E7-F7</f>
        <v>83140</v>
      </c>
      <c r="H7" s="90"/>
      <c r="I7" s="84"/>
      <c r="J7" s="84"/>
      <c r="K7" s="84"/>
      <c r="L7" s="91"/>
      <c r="M7" s="93">
        <f t="shared" si="0"/>
        <v>9.889028213166144</v>
      </c>
      <c r="N7" s="94">
        <f t="shared" si="1"/>
        <v>0</v>
      </c>
    </row>
    <row r="8" spans="1:14">
      <c r="A8" s="24" t="s">
        <v>1247</v>
      </c>
      <c r="B8" s="5" t="s">
        <v>1245</v>
      </c>
      <c r="C8" s="84">
        <v>16345</v>
      </c>
      <c r="D8" s="87" t="s">
        <v>1246</v>
      </c>
      <c r="E8" s="90">
        <v>76200</v>
      </c>
      <c r="F8" s="84">
        <v>59880</v>
      </c>
      <c r="G8" s="106">
        <f t="shared" si="2"/>
        <v>16320</v>
      </c>
      <c r="H8" s="90"/>
      <c r="I8" s="84"/>
      <c r="J8" s="84"/>
      <c r="K8" s="84"/>
      <c r="L8" s="91"/>
      <c r="M8" s="93">
        <f t="shared" si="0"/>
        <v>4.6619761394921992</v>
      </c>
      <c r="N8" s="94">
        <f t="shared" si="1"/>
        <v>0</v>
      </c>
    </row>
    <row r="9" spans="1:14">
      <c r="A9" s="24">
        <v>5</v>
      </c>
      <c r="B9" s="5" t="s">
        <v>1248</v>
      </c>
      <c r="C9" s="84">
        <v>155593</v>
      </c>
      <c r="D9" s="87" t="s">
        <v>1246</v>
      </c>
      <c r="E9" s="90">
        <v>2825280</v>
      </c>
      <c r="F9" s="84">
        <v>2519280</v>
      </c>
      <c r="G9" s="106">
        <f t="shared" si="2"/>
        <v>306000</v>
      </c>
      <c r="H9" s="90"/>
      <c r="I9" s="84"/>
      <c r="J9" s="84"/>
      <c r="K9" s="84"/>
      <c r="L9" s="91"/>
      <c r="M9" s="93">
        <f t="shared" si="0"/>
        <v>18.158143361205195</v>
      </c>
      <c r="N9" s="94">
        <f t="shared" si="1"/>
        <v>0</v>
      </c>
    </row>
    <row r="10" spans="1:14">
      <c r="A10" s="24">
        <v>6</v>
      </c>
      <c r="B10" s="5" t="s">
        <v>1248</v>
      </c>
      <c r="C10" s="84">
        <v>133500</v>
      </c>
      <c r="D10" s="87" t="s">
        <v>1246</v>
      </c>
      <c r="E10" s="90">
        <v>3138400</v>
      </c>
      <c r="F10" s="84">
        <v>2629958</v>
      </c>
      <c r="G10" s="106">
        <f t="shared" si="2"/>
        <v>508442</v>
      </c>
      <c r="H10" s="90"/>
      <c r="I10" s="84"/>
      <c r="J10" s="84"/>
      <c r="K10" s="84"/>
      <c r="L10" s="91"/>
      <c r="M10" s="93">
        <f t="shared" si="0"/>
        <v>23.508614232209737</v>
      </c>
      <c r="N10" s="94">
        <f t="shared" si="1"/>
        <v>0</v>
      </c>
    </row>
    <row r="11" spans="1:14">
      <c r="A11" s="24">
        <v>7</v>
      </c>
      <c r="B11" s="5" t="s">
        <v>1248</v>
      </c>
      <c r="C11" s="84">
        <v>114421</v>
      </c>
      <c r="D11" s="87" t="s">
        <v>1246</v>
      </c>
      <c r="E11" s="90">
        <v>1141200</v>
      </c>
      <c r="F11" s="84">
        <v>1005120</v>
      </c>
      <c r="G11" s="106">
        <f t="shared" si="2"/>
        <v>136080</v>
      </c>
      <c r="H11" s="90"/>
      <c r="I11" s="84"/>
      <c r="J11" s="84"/>
      <c r="K11" s="84"/>
      <c r="L11" s="91"/>
      <c r="M11" s="93">
        <f t="shared" si="0"/>
        <v>9.9736936401534688</v>
      </c>
      <c r="N11" s="94">
        <f t="shared" si="1"/>
        <v>0</v>
      </c>
    </row>
    <row r="12" spans="1:14">
      <c r="A12" s="24">
        <v>8</v>
      </c>
      <c r="B12" s="5" t="s">
        <v>1248</v>
      </c>
      <c r="C12" s="84">
        <v>118000</v>
      </c>
      <c r="D12" s="87" t="s">
        <v>1246</v>
      </c>
      <c r="E12" s="90">
        <v>352395</v>
      </c>
      <c r="F12" s="84">
        <v>326965</v>
      </c>
      <c r="G12" s="106">
        <f t="shared" si="2"/>
        <v>25430</v>
      </c>
      <c r="H12" s="90"/>
      <c r="I12" s="84"/>
      <c r="J12" s="84"/>
      <c r="K12" s="84"/>
      <c r="L12" s="91"/>
      <c r="M12" s="93">
        <f t="shared" si="0"/>
        <v>2.9863983050847458</v>
      </c>
      <c r="N12" s="94">
        <f t="shared" si="1"/>
        <v>0</v>
      </c>
    </row>
    <row r="13" spans="1:14">
      <c r="A13" s="24">
        <v>9</v>
      </c>
      <c r="B13" s="5" t="s">
        <v>1248</v>
      </c>
      <c r="C13" s="84">
        <v>173000</v>
      </c>
      <c r="D13" s="87" t="s">
        <v>1246</v>
      </c>
      <c r="E13" s="90">
        <v>835300</v>
      </c>
      <c r="F13" s="84">
        <v>755652</v>
      </c>
      <c r="G13" s="106">
        <f t="shared" si="2"/>
        <v>79648</v>
      </c>
      <c r="H13" s="90"/>
      <c r="I13" s="84"/>
      <c r="J13" s="84"/>
      <c r="K13" s="84"/>
      <c r="L13" s="91"/>
      <c r="M13" s="93">
        <f t="shared" si="0"/>
        <v>4.8283236994219649</v>
      </c>
      <c r="N13" s="94">
        <f t="shared" si="1"/>
        <v>0</v>
      </c>
    </row>
    <row r="14" spans="1:14">
      <c r="A14" s="24">
        <v>10</v>
      </c>
      <c r="B14" s="5" t="s">
        <v>1248</v>
      </c>
      <c r="C14" s="84">
        <v>90000</v>
      </c>
      <c r="D14" s="87" t="s">
        <v>1246</v>
      </c>
      <c r="E14" s="90">
        <v>1933260</v>
      </c>
      <c r="F14" s="84">
        <v>1415940</v>
      </c>
      <c r="G14" s="106">
        <f t="shared" si="2"/>
        <v>517320</v>
      </c>
      <c r="H14" s="90"/>
      <c r="I14" s="84"/>
      <c r="J14" s="84"/>
      <c r="K14" s="84"/>
      <c r="L14" s="91"/>
      <c r="M14" s="93">
        <f t="shared" si="0"/>
        <v>21.480666666666668</v>
      </c>
      <c r="N14" s="94">
        <f t="shared" si="1"/>
        <v>0</v>
      </c>
    </row>
    <row r="15" spans="1:14">
      <c r="A15" s="24">
        <v>11</v>
      </c>
      <c r="B15" s="5" t="s">
        <v>1248</v>
      </c>
      <c r="C15" s="84">
        <f>175832+175231</f>
        <v>351063</v>
      </c>
      <c r="D15" s="87" t="s">
        <v>1246</v>
      </c>
      <c r="E15" s="90">
        <v>4593120</v>
      </c>
      <c r="F15" s="84">
        <v>4459680</v>
      </c>
      <c r="G15" s="106">
        <f t="shared" si="2"/>
        <v>133440</v>
      </c>
      <c r="H15" s="90"/>
      <c r="I15" s="84"/>
      <c r="J15" s="84"/>
      <c r="K15" s="84"/>
      <c r="L15" s="91"/>
      <c r="M15" s="93">
        <f t="shared" si="0"/>
        <v>13.083463651823177</v>
      </c>
      <c r="N15" s="94">
        <f t="shared" si="1"/>
        <v>0</v>
      </c>
    </row>
    <row r="16" spans="1:14">
      <c r="A16" s="24">
        <v>12</v>
      </c>
      <c r="B16" s="5" t="s">
        <v>1249</v>
      </c>
      <c r="C16" s="84">
        <v>8250</v>
      </c>
      <c r="D16" s="87" t="s">
        <v>1246</v>
      </c>
      <c r="E16" s="90">
        <v>38840</v>
      </c>
      <c r="F16" s="84">
        <v>36200</v>
      </c>
      <c r="G16" s="106">
        <f t="shared" si="2"/>
        <v>2640</v>
      </c>
      <c r="H16" s="90"/>
      <c r="I16" s="84"/>
      <c r="J16" s="84"/>
      <c r="K16" s="84"/>
      <c r="L16" s="91"/>
      <c r="M16" s="93">
        <f t="shared" si="0"/>
        <v>4.707878787878788</v>
      </c>
      <c r="N16" s="94">
        <f t="shared" si="1"/>
        <v>0</v>
      </c>
    </row>
    <row r="17" spans="1:16">
      <c r="A17" s="24">
        <v>13</v>
      </c>
      <c r="B17" s="5" t="s">
        <v>1250</v>
      </c>
      <c r="C17" s="84">
        <v>24144</v>
      </c>
      <c r="D17" s="87" t="s">
        <v>1246</v>
      </c>
      <c r="E17" s="90">
        <v>162720</v>
      </c>
      <c r="F17" s="84">
        <v>148320</v>
      </c>
      <c r="G17" s="106">
        <f t="shared" si="2"/>
        <v>14400</v>
      </c>
      <c r="H17" s="90"/>
      <c r="I17" s="84"/>
      <c r="J17" s="84"/>
      <c r="K17" s="84"/>
      <c r="L17" s="91"/>
      <c r="M17" s="93">
        <f t="shared" si="0"/>
        <v>6.7395626242544733</v>
      </c>
      <c r="N17" s="94">
        <f t="shared" si="1"/>
        <v>0</v>
      </c>
    </row>
    <row r="18" spans="1:16">
      <c r="A18" s="24">
        <v>14</v>
      </c>
      <c r="B18" s="5" t="s">
        <v>1250</v>
      </c>
      <c r="C18" s="84">
        <v>15600</v>
      </c>
      <c r="D18" s="87" t="s">
        <v>1246</v>
      </c>
      <c r="E18" s="90">
        <v>93120</v>
      </c>
      <c r="F18" s="84">
        <v>93360</v>
      </c>
      <c r="G18" s="106">
        <f t="shared" si="2"/>
        <v>-240</v>
      </c>
      <c r="H18" s="90"/>
      <c r="I18" s="84"/>
      <c r="J18" s="84"/>
      <c r="K18" s="84"/>
      <c r="L18" s="91"/>
      <c r="M18" s="93">
        <f t="shared" si="0"/>
        <v>5.9692307692307693</v>
      </c>
      <c r="N18" s="94">
        <f t="shared" si="1"/>
        <v>0</v>
      </c>
    </row>
    <row r="19" spans="1:16">
      <c r="A19" s="24">
        <v>15</v>
      </c>
      <c r="B19" s="5" t="s">
        <v>1250</v>
      </c>
      <c r="C19" s="84">
        <v>14000</v>
      </c>
      <c r="D19" s="87" t="s">
        <v>1246</v>
      </c>
      <c r="E19" s="90">
        <v>124320</v>
      </c>
      <c r="F19" s="84">
        <v>120960</v>
      </c>
      <c r="G19" s="106">
        <f t="shared" si="2"/>
        <v>3360</v>
      </c>
      <c r="H19" s="90"/>
      <c r="I19" s="84"/>
      <c r="J19" s="84"/>
      <c r="K19" s="84"/>
      <c r="L19" s="91"/>
      <c r="M19" s="93">
        <f t="shared" si="0"/>
        <v>8.8800000000000008</v>
      </c>
      <c r="N19" s="94">
        <f t="shared" si="1"/>
        <v>0</v>
      </c>
    </row>
    <row r="20" spans="1:16">
      <c r="A20" s="24">
        <v>16</v>
      </c>
      <c r="B20" s="5" t="s">
        <v>1250</v>
      </c>
      <c r="C20" s="84">
        <v>26908</v>
      </c>
      <c r="D20" s="87" t="s">
        <v>1246</v>
      </c>
      <c r="E20" s="90">
        <v>181600</v>
      </c>
      <c r="F20" s="84">
        <v>172320</v>
      </c>
      <c r="G20" s="106">
        <f t="shared" si="2"/>
        <v>9280</v>
      </c>
      <c r="H20" s="90"/>
      <c r="I20" s="84"/>
      <c r="J20" s="84"/>
      <c r="K20" s="84"/>
      <c r="L20" s="91"/>
      <c r="M20" s="93">
        <f t="shared" si="0"/>
        <v>6.7489222536048761</v>
      </c>
      <c r="N20" s="94">
        <f t="shared" si="1"/>
        <v>0</v>
      </c>
    </row>
    <row r="21" spans="1:16">
      <c r="A21" s="24" t="s">
        <v>1251</v>
      </c>
      <c r="B21" s="5" t="s">
        <v>1245</v>
      </c>
      <c r="C21" s="99">
        <v>16345</v>
      </c>
      <c r="D21" s="87" t="s">
        <v>565</v>
      </c>
      <c r="E21" s="90"/>
      <c r="F21" s="84"/>
      <c r="G21" s="106"/>
      <c r="H21" s="90">
        <v>6211</v>
      </c>
      <c r="I21" s="84">
        <v>5247</v>
      </c>
      <c r="J21" s="99">
        <v>6211.3761263897022</v>
      </c>
      <c r="K21" s="84">
        <v>4892.7210459873768</v>
      </c>
      <c r="L21" s="91">
        <f>J21-K21</f>
        <v>1318.6550804023254</v>
      </c>
      <c r="M21" s="93">
        <f t="shared" si="0"/>
        <v>0</v>
      </c>
      <c r="N21" s="98">
        <f>J21/C21</f>
        <v>0.38001689363044983</v>
      </c>
      <c r="O21" s="86"/>
    </row>
    <row r="22" spans="1:16">
      <c r="A22" s="24">
        <v>17</v>
      </c>
      <c r="B22" s="5" t="s">
        <v>1245</v>
      </c>
      <c r="C22" s="99">
        <v>14000</v>
      </c>
      <c r="D22" s="87" t="s">
        <v>565</v>
      </c>
      <c r="E22" s="88"/>
      <c r="F22" s="85"/>
      <c r="G22" s="92"/>
      <c r="H22" s="90">
        <v>9558</v>
      </c>
      <c r="I22" s="84">
        <v>7088</v>
      </c>
      <c r="J22" s="99">
        <v>9557.8072837022137</v>
      </c>
      <c r="K22" s="84">
        <v>6775.5985949343694</v>
      </c>
      <c r="L22" s="89">
        <f>J22-K22</f>
        <v>2782.2086887678443</v>
      </c>
      <c r="M22" s="93">
        <f t="shared" ref="M22:M29" si="3">E22/C22</f>
        <v>0</v>
      </c>
      <c r="N22" s="98">
        <f t="shared" si="1"/>
        <v>0.68270052026444383</v>
      </c>
      <c r="O22" s="86"/>
    </row>
    <row r="23" spans="1:16">
      <c r="A23" s="24">
        <v>18</v>
      </c>
      <c r="B23" s="5" t="s">
        <v>1245</v>
      </c>
      <c r="C23" s="99">
        <v>22600</v>
      </c>
      <c r="D23" s="87" t="s">
        <v>565</v>
      </c>
      <c r="E23" s="88"/>
      <c r="F23" s="85"/>
      <c r="G23" s="92"/>
      <c r="H23" s="90">
        <v>15469</v>
      </c>
      <c r="I23" s="84">
        <v>11903</v>
      </c>
      <c r="J23" s="99">
        <v>15469.442832065537</v>
      </c>
      <c r="K23" s="84">
        <v>11099.306005410281</v>
      </c>
      <c r="L23" s="89">
        <f>J23-K23</f>
        <v>4370.1368266552563</v>
      </c>
      <c r="M23" s="93">
        <f t="shared" si="3"/>
        <v>0</v>
      </c>
      <c r="N23" s="98">
        <f t="shared" si="1"/>
        <v>0.68448862088785567</v>
      </c>
      <c r="O23" s="86"/>
    </row>
    <row r="24" spans="1:16">
      <c r="A24" s="24">
        <v>19</v>
      </c>
      <c r="B24" s="5" t="s">
        <v>1249</v>
      </c>
      <c r="C24" s="99">
        <v>14717</v>
      </c>
      <c r="D24" s="87" t="s">
        <v>565</v>
      </c>
      <c r="E24" s="88"/>
      <c r="F24" s="85"/>
      <c r="G24" s="92"/>
      <c r="H24" s="90">
        <v>12594</v>
      </c>
      <c r="I24" s="84">
        <v>9152</v>
      </c>
      <c r="J24" s="99">
        <v>12594.326940467221</v>
      </c>
      <c r="K24" s="84">
        <v>8982.7887623386487</v>
      </c>
      <c r="L24" s="89">
        <f>J24-K24</f>
        <v>3611.5381781285723</v>
      </c>
      <c r="M24" s="93">
        <f t="shared" si="3"/>
        <v>0</v>
      </c>
      <c r="N24" s="98">
        <f t="shared" si="1"/>
        <v>0.85576727189421897</v>
      </c>
      <c r="O24" s="86"/>
      <c r="P24" s="4"/>
    </row>
    <row r="25" spans="1:16">
      <c r="A25" s="24">
        <v>20</v>
      </c>
      <c r="B25" s="5" t="s">
        <v>1252</v>
      </c>
      <c r="C25" s="99">
        <v>128000</v>
      </c>
      <c r="D25" s="87" t="s">
        <v>565</v>
      </c>
      <c r="E25" s="88"/>
      <c r="F25" s="85"/>
      <c r="G25" s="92"/>
      <c r="H25" s="90">
        <v>51181</v>
      </c>
      <c r="I25" s="84">
        <v>49371</v>
      </c>
      <c r="J25" s="99">
        <v>51180.952260738515</v>
      </c>
      <c r="K25" s="84">
        <v>48458.180068337133</v>
      </c>
      <c r="L25" s="89">
        <f>J25-K25</f>
        <v>2722.7721924013822</v>
      </c>
      <c r="M25" s="93">
        <f t="shared" si="3"/>
        <v>0</v>
      </c>
      <c r="N25" s="98">
        <f t="shared" si="1"/>
        <v>0.39985118953701965</v>
      </c>
      <c r="O25" s="86"/>
      <c r="P25" s="4"/>
    </row>
    <row r="26" spans="1:16">
      <c r="A26" s="24">
        <v>21</v>
      </c>
      <c r="B26" s="5" t="s">
        <v>1252</v>
      </c>
      <c r="C26" s="99">
        <v>57345</v>
      </c>
      <c r="D26" s="87" t="s">
        <v>565</v>
      </c>
      <c r="E26" s="88"/>
      <c r="F26" s="85"/>
      <c r="G26" s="92"/>
      <c r="H26" s="90">
        <v>17736</v>
      </c>
      <c r="I26" s="84">
        <v>21743</v>
      </c>
      <c r="J26" s="99">
        <v>17735.703504144687</v>
      </c>
      <c r="K26" s="84">
        <v>21340.99388762339</v>
      </c>
      <c r="L26" s="89">
        <f t="shared" ref="L26:L29" si="4">J26-K26</f>
        <v>-3605.290383478703</v>
      </c>
      <c r="M26" s="93">
        <f t="shared" si="3"/>
        <v>0</v>
      </c>
      <c r="N26" s="98">
        <f>J26/C26</f>
        <v>0.30928073073754797</v>
      </c>
      <c r="O26" s="86"/>
      <c r="P26" s="4"/>
    </row>
    <row r="27" spans="1:16">
      <c r="A27" s="24">
        <v>22</v>
      </c>
      <c r="B27" s="5" t="s">
        <v>1252</v>
      </c>
      <c r="C27" s="99">
        <v>68772</v>
      </c>
      <c r="D27" s="87" t="s">
        <v>565</v>
      </c>
      <c r="E27" s="88"/>
      <c r="F27" s="85"/>
      <c r="G27" s="92"/>
      <c r="H27" s="90">
        <v>35672</v>
      </c>
      <c r="I27" s="84">
        <v>37685</v>
      </c>
      <c r="J27" s="99">
        <v>35671.938189134809</v>
      </c>
      <c r="K27" s="84">
        <v>36988.24240698557</v>
      </c>
      <c r="L27" s="89">
        <f t="shared" si="4"/>
        <v>-1316.3042178507603</v>
      </c>
      <c r="M27" s="93">
        <f t="shared" si="3"/>
        <v>0</v>
      </c>
      <c r="N27" s="98">
        <f t="shared" si="1"/>
        <v>0.51869857193530522</v>
      </c>
      <c r="O27" s="86"/>
      <c r="P27" s="4"/>
    </row>
    <row r="28" spans="1:16">
      <c r="A28" s="24">
        <v>23</v>
      </c>
      <c r="B28" s="5" t="s">
        <v>1252</v>
      </c>
      <c r="C28" s="99">
        <v>50692</v>
      </c>
      <c r="D28" s="87" t="s">
        <v>565</v>
      </c>
      <c r="E28" s="88"/>
      <c r="F28" s="85"/>
      <c r="G28" s="92"/>
      <c r="H28" s="90">
        <v>21524</v>
      </c>
      <c r="I28" s="84">
        <v>18658</v>
      </c>
      <c r="J28" s="99">
        <v>21524.052997987928</v>
      </c>
      <c r="K28" s="84">
        <v>18313.032422171604</v>
      </c>
      <c r="L28" s="89">
        <f t="shared" si="4"/>
        <v>3211.0205758163247</v>
      </c>
      <c r="M28" s="93">
        <f t="shared" si="3"/>
        <v>0</v>
      </c>
      <c r="N28" s="98">
        <f t="shared" si="1"/>
        <v>0.42460453321999386</v>
      </c>
      <c r="O28" s="86"/>
      <c r="P28" s="4"/>
    </row>
    <row r="29" spans="1:16" ht="15" thickBot="1">
      <c r="A29" s="145">
        <v>24</v>
      </c>
      <c r="B29" s="70" t="s">
        <v>1253</v>
      </c>
      <c r="C29" s="265">
        <v>7774</v>
      </c>
      <c r="D29" s="266" t="s">
        <v>565</v>
      </c>
      <c r="E29" s="267"/>
      <c r="F29" s="268"/>
      <c r="G29" s="269"/>
      <c r="H29" s="270">
        <v>4380</v>
      </c>
      <c r="I29" s="271">
        <v>5118</v>
      </c>
      <c r="J29" s="265">
        <v>4380.4817230987419</v>
      </c>
      <c r="K29" s="271">
        <v>5161.5234640140434</v>
      </c>
      <c r="L29" s="272">
        <f t="shared" si="4"/>
        <v>-781.04174091530149</v>
      </c>
      <c r="M29" s="273">
        <f t="shared" si="3"/>
        <v>0</v>
      </c>
      <c r="N29" s="274">
        <f t="shared" si="1"/>
        <v>0.56347848251849009</v>
      </c>
      <c r="O29" s="86"/>
      <c r="P29" s="4"/>
    </row>
    <row r="30" spans="1:16">
      <c r="P30" s="4"/>
    </row>
    <row r="31" spans="1:16">
      <c r="P31" s="4"/>
    </row>
    <row r="32" spans="1:16" ht="15.6">
      <c r="A32" s="107" t="s">
        <v>1254</v>
      </c>
      <c r="P32" s="4"/>
    </row>
    <row r="33" spans="1:15">
      <c r="D33" s="1845" t="s">
        <v>787</v>
      </c>
      <c r="E33" s="1845"/>
      <c r="F33" s="1845" t="s">
        <v>1255</v>
      </c>
      <c r="G33" s="1845"/>
    </row>
    <row r="34" spans="1:15" ht="29.1">
      <c r="A34" s="96" t="s">
        <v>1256</v>
      </c>
      <c r="B34" s="20" t="s">
        <v>1257</v>
      </c>
      <c r="C34" s="20" t="s">
        <v>1258</v>
      </c>
      <c r="D34" t="s">
        <v>1259</v>
      </c>
      <c r="E34" s="20" t="s">
        <v>1260</v>
      </c>
      <c r="F34" t="s">
        <v>1261</v>
      </c>
      <c r="G34" s="20" t="s">
        <v>1262</v>
      </c>
      <c r="H34" s="20"/>
      <c r="I34" s="20"/>
      <c r="J34" s="20"/>
      <c r="K34" s="20"/>
      <c r="L34" s="20"/>
      <c r="M34" s="20"/>
      <c r="N34" s="20"/>
      <c r="O34" s="20"/>
    </row>
    <row r="35" spans="1:15">
      <c r="A35" s="95" t="s">
        <v>565</v>
      </c>
      <c r="B35">
        <v>9</v>
      </c>
      <c r="C35" s="86">
        <v>380245</v>
      </c>
      <c r="D35" s="86"/>
      <c r="E35" s="86"/>
      <c r="F35" s="86">
        <v>174326.08185772935</v>
      </c>
      <c r="G35" s="86">
        <v>12313.69519992694</v>
      </c>
    </row>
    <row r="36" spans="1:15">
      <c r="A36" s="95" t="s">
        <v>1246</v>
      </c>
      <c r="B36">
        <v>16</v>
      </c>
      <c r="C36" s="86">
        <v>1332224</v>
      </c>
      <c r="D36" s="86">
        <v>16536951</v>
      </c>
      <c r="E36" s="86">
        <v>1944808</v>
      </c>
      <c r="F36" s="86"/>
      <c r="G36" s="86"/>
    </row>
    <row r="37" spans="1:15" s="20" customFormat="1">
      <c r="A37" s="95" t="s">
        <v>1263</v>
      </c>
      <c r="B37">
        <v>25</v>
      </c>
      <c r="C37" s="86">
        <v>1712469</v>
      </c>
      <c r="D37" s="86">
        <v>16536951</v>
      </c>
      <c r="E37" s="86">
        <v>1944808</v>
      </c>
      <c r="F37" s="86">
        <v>174326.08185772935</v>
      </c>
      <c r="G37" s="86">
        <v>12313.69519992694</v>
      </c>
      <c r="H37"/>
      <c r="I37"/>
      <c r="J37"/>
      <c r="K37"/>
      <c r="L37"/>
      <c r="M37"/>
      <c r="N37"/>
      <c r="O37"/>
    </row>
    <row r="42" spans="1:15" ht="15.6">
      <c r="A42" s="107" t="s">
        <v>1264</v>
      </c>
    </row>
    <row r="43" spans="1:15">
      <c r="B43" s="97" t="s">
        <v>1145</v>
      </c>
      <c r="C43" s="97" t="s">
        <v>793</v>
      </c>
    </row>
    <row r="44" spans="1:15">
      <c r="A44" s="5" t="s">
        <v>1246</v>
      </c>
      <c r="B44" s="110">
        <f>E36/D36</f>
        <v>0.11760378318832776</v>
      </c>
      <c r="C44" s="5" t="s">
        <v>253</v>
      </c>
    </row>
    <row r="45" spans="1:15">
      <c r="A45" s="5" t="s">
        <v>565</v>
      </c>
      <c r="B45" s="110">
        <f>G35/F35</f>
        <v>7.0635988996622823E-2</v>
      </c>
      <c r="C45" s="5" t="s">
        <v>906</v>
      </c>
    </row>
  </sheetData>
  <sheetProtection algorithmName="SHA-512" hashValue="KFru4qzwQTkOH9neyRwAuGrxfq6/Z4WRy7WVmoo0mBvUSgqPe2DPPLTyPC1AREwElOL1x7t4j0LpDaAtTF5DWw==" saltValue="iA8pnCsnloL3Xggdor5wBQ==" spinCount="100000" sheet="1" objects="1" scenarios="1"/>
  <mergeCells count="4">
    <mergeCell ref="D33:E33"/>
    <mergeCell ref="F33:G33"/>
    <mergeCell ref="E3:G3"/>
    <mergeCell ref="H3:L3"/>
  </mergeCell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AFD5-B5FE-49CA-96C3-936CCEBBFD9C}">
  <sheetPr codeName="Sheet5">
    <tabColor theme="9" tint="-0.249977111117893"/>
  </sheetPr>
  <dimension ref="A1:S87"/>
  <sheetViews>
    <sheetView topLeftCell="A45" zoomScaleNormal="100" workbookViewId="0">
      <selection activeCell="H51" sqref="H1:H1048576"/>
    </sheetView>
  </sheetViews>
  <sheetFormatPr defaultRowHeight="14.45"/>
  <cols>
    <col min="1" max="1" width="31.5703125" customWidth="1"/>
    <col min="2" max="2" width="26.140625" customWidth="1"/>
    <col min="3" max="3" width="19.28515625" customWidth="1"/>
    <col min="4" max="4" width="11.140625" customWidth="1"/>
    <col min="5" max="7" width="9.140625" bestFit="1" customWidth="1"/>
    <col min="9" max="9" width="12.42578125" customWidth="1"/>
    <col min="10" max="13" width="10.5703125" customWidth="1"/>
    <col min="14" max="14" width="11.7109375" customWidth="1"/>
    <col min="15" max="15" width="11.140625" bestFit="1" customWidth="1"/>
    <col min="16" max="16" width="11.85546875" customWidth="1"/>
    <col min="17" max="17" width="11.42578125" customWidth="1"/>
    <col min="18" max="18" width="11.5703125" customWidth="1"/>
    <col min="19" max="19" width="11.140625" bestFit="1" customWidth="1"/>
  </cols>
  <sheetData>
    <row r="1" spans="1:14">
      <c r="A1" s="3" t="s">
        <v>791</v>
      </c>
      <c r="B1" s="3" t="s">
        <v>854</v>
      </c>
      <c r="C1" s="1851" t="s">
        <v>1265</v>
      </c>
      <c r="D1" s="1851"/>
      <c r="E1" s="1851"/>
      <c r="F1" s="1851"/>
      <c r="G1" s="1851"/>
      <c r="H1" s="1851"/>
      <c r="I1" s="1851"/>
      <c r="J1" s="1851"/>
      <c r="K1" s="1851"/>
      <c r="L1" s="1851"/>
      <c r="M1" s="1851"/>
    </row>
    <row r="2" spans="1:14" ht="32.1" customHeight="1">
      <c r="A2" s="21" t="s">
        <v>1266</v>
      </c>
      <c r="B2" s="113" t="s">
        <v>421</v>
      </c>
      <c r="C2" s="1850" t="s">
        <v>1267</v>
      </c>
      <c r="D2" s="1850"/>
      <c r="E2" s="1850"/>
      <c r="F2" s="1850"/>
      <c r="G2" s="1850"/>
      <c r="H2" s="1850"/>
      <c r="I2" s="1850"/>
      <c r="J2" s="1850"/>
      <c r="K2" s="1850"/>
      <c r="L2" s="1850"/>
      <c r="M2" s="1850"/>
    </row>
    <row r="3" spans="1:14" ht="32.450000000000003" customHeight="1">
      <c r="A3" s="27" t="s">
        <v>1268</v>
      </c>
      <c r="B3" s="114" t="s">
        <v>1269</v>
      </c>
      <c r="C3" s="1853" t="s">
        <v>1270</v>
      </c>
      <c r="D3" s="1853"/>
      <c r="E3" s="1853"/>
      <c r="F3" s="1853"/>
      <c r="G3" s="1853"/>
      <c r="H3" s="1853"/>
      <c r="I3" s="1853"/>
      <c r="J3" s="1853"/>
      <c r="K3" s="1853"/>
      <c r="L3" s="1853"/>
      <c r="M3" s="1853"/>
    </row>
    <row r="4" spans="1:14" ht="49.5" customHeight="1">
      <c r="A4" s="28"/>
      <c r="C4" s="1854" t="s">
        <v>1271</v>
      </c>
      <c r="D4" s="1854"/>
      <c r="E4" s="1854"/>
      <c r="F4" s="1854"/>
      <c r="G4" s="1854"/>
      <c r="H4" s="1854"/>
      <c r="I4" s="1854"/>
      <c r="J4" s="1854"/>
      <c r="K4" s="1854"/>
      <c r="L4" s="1854"/>
      <c r="M4" s="1854"/>
    </row>
    <row r="5" spans="1:14" ht="102.95" customHeight="1">
      <c r="A5" s="29"/>
      <c r="B5" s="19"/>
      <c r="C5" s="1852" t="s">
        <v>1272</v>
      </c>
      <c r="D5" s="1852"/>
      <c r="E5" s="1852"/>
      <c r="F5" s="1852"/>
      <c r="G5" s="1852"/>
      <c r="H5" s="1852"/>
      <c r="I5" s="1852"/>
      <c r="J5" s="1852"/>
      <c r="K5" s="1852"/>
      <c r="L5" s="1852"/>
      <c r="M5" s="1852"/>
      <c r="N5" s="3"/>
    </row>
    <row r="6" spans="1:14" ht="18" customHeight="1">
      <c r="A6" s="27" t="s">
        <v>1273</v>
      </c>
      <c r="B6" s="114" t="s">
        <v>489</v>
      </c>
      <c r="C6" s="1853" t="s">
        <v>1274</v>
      </c>
      <c r="D6" s="1853"/>
      <c r="E6" s="1853"/>
      <c r="F6" s="1853"/>
      <c r="G6" s="1853"/>
      <c r="H6" s="1853"/>
      <c r="I6" s="1853"/>
      <c r="J6" s="1853"/>
      <c r="K6" s="1853"/>
      <c r="L6" s="1853"/>
      <c r="M6" s="1853"/>
    </row>
    <row r="7" spans="1:14" ht="137.1" customHeight="1">
      <c r="A7" s="19"/>
      <c r="B7" s="19"/>
      <c r="C7" s="1852" t="s">
        <v>1275</v>
      </c>
      <c r="D7" s="1852"/>
      <c r="E7" s="1852"/>
      <c r="F7" s="1852"/>
      <c r="G7" s="1852"/>
      <c r="H7" s="1852"/>
      <c r="I7" s="1852"/>
      <c r="J7" s="1852"/>
      <c r="K7" s="1852"/>
      <c r="L7" s="1852"/>
      <c r="M7" s="1852"/>
    </row>
    <row r="9" spans="1:14">
      <c r="A9" s="3" t="s">
        <v>1276</v>
      </c>
    </row>
    <row r="10" spans="1:14">
      <c r="A10" t="s">
        <v>1277</v>
      </c>
      <c r="B10" s="11" t="s">
        <v>1278</v>
      </c>
      <c r="C10" t="s">
        <v>1279</v>
      </c>
    </row>
    <row r="11" spans="1:14">
      <c r="A11" t="s">
        <v>1280</v>
      </c>
      <c r="B11" s="11" t="s">
        <v>1278</v>
      </c>
      <c r="C11" t="s">
        <v>1281</v>
      </c>
    </row>
    <row r="12" spans="1:14">
      <c r="A12" t="s">
        <v>1282</v>
      </c>
      <c r="B12" s="11" t="s">
        <v>1278</v>
      </c>
      <c r="C12" t="s">
        <v>1283</v>
      </c>
    </row>
    <row r="13" spans="1:14">
      <c r="A13" t="s">
        <v>1284</v>
      </c>
      <c r="B13" s="11" t="s">
        <v>1278</v>
      </c>
      <c r="C13" t="s">
        <v>1285</v>
      </c>
    </row>
    <row r="14" spans="1:14">
      <c r="A14" t="s">
        <v>1286</v>
      </c>
      <c r="B14" s="11" t="s">
        <v>1278</v>
      </c>
      <c r="C14" t="s">
        <v>1287</v>
      </c>
    </row>
    <row r="16" spans="1:14">
      <c r="A16" s="3" t="s">
        <v>1288</v>
      </c>
    </row>
    <row r="17" spans="1:7">
      <c r="A17" s="43" t="s">
        <v>1289</v>
      </c>
    </row>
    <row r="18" spans="1:7" ht="15" thickBot="1">
      <c r="A18" s="3"/>
    </row>
    <row r="19" spans="1:7">
      <c r="A19" s="54" t="s">
        <v>1290</v>
      </c>
      <c r="B19" s="55" t="s">
        <v>1291</v>
      </c>
      <c r="C19" s="55" t="s">
        <v>362</v>
      </c>
      <c r="D19" s="55" t="s">
        <v>261</v>
      </c>
      <c r="E19" s="56" t="s">
        <v>1292</v>
      </c>
    </row>
    <row r="20" spans="1:7">
      <c r="A20" s="57"/>
      <c r="B20" s="16" t="s">
        <v>1293</v>
      </c>
      <c r="C20" s="5">
        <v>0.746</v>
      </c>
      <c r="D20" s="5" t="s">
        <v>1294</v>
      </c>
      <c r="E20" s="25"/>
    </row>
    <row r="21" spans="1:7">
      <c r="A21" s="58"/>
      <c r="B21" s="26" t="s">
        <v>1295</v>
      </c>
      <c r="C21" s="41">
        <f>Assumptions!D18</f>
        <v>0.92</v>
      </c>
      <c r="D21" s="18"/>
      <c r="E21" s="59"/>
    </row>
    <row r="22" spans="1:7">
      <c r="A22" s="58"/>
      <c r="B22" s="16" t="s">
        <v>1119</v>
      </c>
      <c r="C22" s="42">
        <f>Assumptions!D68</f>
        <v>7300</v>
      </c>
      <c r="D22" s="5" t="s">
        <v>1149</v>
      </c>
      <c r="E22" s="25"/>
      <c r="G22">
        <f>C23/C22</f>
        <v>0.6359236037934668</v>
      </c>
    </row>
    <row r="23" spans="1:7">
      <c r="A23" s="60"/>
      <c r="B23" s="16" t="s">
        <v>1296</v>
      </c>
      <c r="C23" s="83">
        <f>E80+G80</f>
        <v>4642.2423076923078</v>
      </c>
      <c r="D23" s="5" t="s">
        <v>1149</v>
      </c>
      <c r="E23" s="25" t="s">
        <v>1297</v>
      </c>
    </row>
    <row r="24" spans="1:7">
      <c r="A24" s="61" t="s">
        <v>880</v>
      </c>
      <c r="B24" s="5" t="s">
        <v>1298</v>
      </c>
      <c r="C24" s="42">
        <f>Assumptions!$D$7</f>
        <v>0.9</v>
      </c>
      <c r="D24" s="5" t="s">
        <v>1299</v>
      </c>
      <c r="E24" s="25"/>
    </row>
    <row r="25" spans="1:7">
      <c r="A25" s="62"/>
      <c r="B25" s="16" t="s">
        <v>1300</v>
      </c>
      <c r="C25" s="42">
        <f>Assumptions!D11</f>
        <v>4.3568766035726386E-4</v>
      </c>
      <c r="D25" s="5"/>
      <c r="E25" s="25"/>
    </row>
    <row r="26" spans="1:7">
      <c r="A26" s="57" t="s">
        <v>881</v>
      </c>
      <c r="B26" s="23" t="s">
        <v>1301</v>
      </c>
      <c r="C26" s="42">
        <f>Assumptions!$D$8</f>
        <v>0.63</v>
      </c>
      <c r="D26" s="5" t="s">
        <v>1299</v>
      </c>
      <c r="E26" s="25"/>
      <c r="G26" s="4"/>
    </row>
    <row r="27" spans="1:7">
      <c r="A27" s="58"/>
      <c r="B27" s="39" t="s">
        <v>1302</v>
      </c>
      <c r="C27" s="319">
        <f>Assumptions!D12</f>
        <v>6.5875974246018293E-5</v>
      </c>
      <c r="D27" s="5"/>
      <c r="E27" s="25"/>
    </row>
    <row r="28" spans="1:7">
      <c r="A28" s="58"/>
      <c r="B28" s="26" t="s">
        <v>1303</v>
      </c>
      <c r="C28" s="41">
        <f>Assumptions!$D$20</f>
        <v>0.9</v>
      </c>
      <c r="D28" s="5"/>
      <c r="E28" s="25"/>
    </row>
    <row r="29" spans="1:7" ht="15" thickBot="1">
      <c r="A29" s="63"/>
      <c r="B29" s="26" t="s">
        <v>1304</v>
      </c>
      <c r="C29" s="41">
        <f>Assumptions!$D$21</f>
        <v>0.93</v>
      </c>
      <c r="D29" s="70"/>
      <c r="E29" s="71"/>
    </row>
    <row r="30" spans="1:7" ht="15" thickBot="1"/>
    <row r="31" spans="1:7">
      <c r="A31" s="54" t="s">
        <v>1305</v>
      </c>
      <c r="B31" s="64" t="s">
        <v>1291</v>
      </c>
      <c r="C31" s="64" t="s">
        <v>362</v>
      </c>
      <c r="D31" s="64" t="s">
        <v>261</v>
      </c>
      <c r="E31" s="65" t="s">
        <v>1292</v>
      </c>
    </row>
    <row r="32" spans="1:7">
      <c r="A32" s="61"/>
      <c r="B32" s="5" t="s">
        <v>1306</v>
      </c>
      <c r="C32" s="5">
        <v>1.08</v>
      </c>
      <c r="D32" s="5"/>
      <c r="E32" s="66"/>
    </row>
    <row r="33" spans="1:5">
      <c r="A33" s="62"/>
      <c r="B33" s="5" t="s">
        <v>1307</v>
      </c>
      <c r="C33" s="5">
        <v>1000</v>
      </c>
      <c r="D33" s="5" t="s">
        <v>1308</v>
      </c>
      <c r="E33" s="66"/>
    </row>
    <row r="34" spans="1:5">
      <c r="A34" s="62"/>
      <c r="B34" s="16" t="s">
        <v>1309</v>
      </c>
      <c r="C34" s="42">
        <f>Assumptions!D51</f>
        <v>70</v>
      </c>
      <c r="D34" s="5" t="s">
        <v>1062</v>
      </c>
      <c r="E34" s="25"/>
    </row>
    <row r="35" spans="1:5">
      <c r="A35" s="62"/>
      <c r="B35" s="16" t="s">
        <v>1310</v>
      </c>
      <c r="C35" s="79">
        <f>Assumptions!D15</f>
        <v>0.15</v>
      </c>
      <c r="D35" s="5"/>
      <c r="E35" s="25"/>
    </row>
    <row r="36" spans="1:5">
      <c r="A36" s="58"/>
      <c r="B36" s="16" t="s">
        <v>1311</v>
      </c>
      <c r="C36" s="79">
        <f>Assumptions!D16</f>
        <v>0.3</v>
      </c>
      <c r="D36" s="5"/>
      <c r="E36" s="25"/>
    </row>
    <row r="37" spans="1:5">
      <c r="A37" s="61" t="s">
        <v>1312</v>
      </c>
      <c r="B37" s="16" t="s">
        <v>1313</v>
      </c>
      <c r="C37" s="42">
        <f>Assumptions!D5</f>
        <v>60</v>
      </c>
      <c r="D37" s="5" t="s">
        <v>1314</v>
      </c>
      <c r="E37" s="25"/>
    </row>
    <row r="38" spans="1:5">
      <c r="A38" s="62"/>
      <c r="B38" s="16" t="s">
        <v>1315</v>
      </c>
      <c r="C38" s="42">
        <f>Assumptions!D54</f>
        <v>70</v>
      </c>
      <c r="D38" s="5" t="s">
        <v>1062</v>
      </c>
      <c r="E38" s="25"/>
    </row>
    <row r="39" spans="1:5" ht="29.1">
      <c r="A39" s="62"/>
      <c r="B39" s="16" t="s">
        <v>1316</v>
      </c>
      <c r="C39" s="42">
        <f>Assumptions!D55</f>
        <v>68</v>
      </c>
      <c r="D39" s="5" t="s">
        <v>1062</v>
      </c>
      <c r="E39" s="25"/>
    </row>
    <row r="40" spans="1:5">
      <c r="A40" s="62"/>
      <c r="B40" s="16" t="s">
        <v>1317</v>
      </c>
      <c r="C40" s="42">
        <f>Assumptions!D56</f>
        <v>66</v>
      </c>
      <c r="D40" s="5" t="s">
        <v>1062</v>
      </c>
      <c r="E40" s="25"/>
    </row>
    <row r="41" spans="1:5">
      <c r="A41" s="62"/>
      <c r="B41" s="16" t="s">
        <v>1318</v>
      </c>
      <c r="C41" s="42">
        <f>Assumptions!D57</f>
        <v>67</v>
      </c>
      <c r="D41" s="5" t="s">
        <v>1062</v>
      </c>
      <c r="E41" s="25"/>
    </row>
    <row r="42" spans="1:5">
      <c r="A42" s="62"/>
      <c r="B42" s="16" t="s">
        <v>1319</v>
      </c>
      <c r="C42" s="42">
        <f>Assumptions!D58</f>
        <v>62</v>
      </c>
      <c r="D42" s="5" t="s">
        <v>1062</v>
      </c>
      <c r="E42" s="25"/>
    </row>
    <row r="43" spans="1:5" ht="29.1">
      <c r="A43" s="67"/>
      <c r="B43" s="16" t="s">
        <v>1320</v>
      </c>
      <c r="C43" s="42">
        <f>Assumptions!D59</f>
        <v>68</v>
      </c>
      <c r="D43" s="5" t="s">
        <v>1062</v>
      </c>
      <c r="E43" s="25"/>
    </row>
    <row r="44" spans="1:5">
      <c r="A44" s="61" t="s">
        <v>1321</v>
      </c>
      <c r="B44" s="16" t="s">
        <v>1322</v>
      </c>
      <c r="C44" s="42">
        <f>Assumptions!D60</f>
        <v>64</v>
      </c>
      <c r="D44" s="5" t="s">
        <v>1062</v>
      </c>
      <c r="E44" s="25"/>
    </row>
    <row r="45" spans="1:5" ht="15" thickBot="1">
      <c r="A45" s="68"/>
      <c r="B45" s="69" t="s">
        <v>1323</v>
      </c>
      <c r="C45" s="82">
        <v>63</v>
      </c>
      <c r="D45" s="70" t="s">
        <v>1062</v>
      </c>
      <c r="E45" s="71"/>
    </row>
    <row r="47" spans="1:5">
      <c r="A47" s="3" t="s">
        <v>1324</v>
      </c>
    </row>
    <row r="48" spans="1:5">
      <c r="A48" s="6" t="s">
        <v>1325</v>
      </c>
      <c r="B48" s="13">
        <f>C25*C20/C21*(C22-C23)</f>
        <v>0.93894822189729577</v>
      </c>
      <c r="C48" t="s">
        <v>1326</v>
      </c>
    </row>
    <row r="49" spans="1:19">
      <c r="A49" s="6" t="s">
        <v>1327</v>
      </c>
      <c r="B49" s="13">
        <f>C27*C20/(C28*C29)*(C22-C23)</f>
        <v>0.15604713674886667</v>
      </c>
      <c r="C49" t="s">
        <v>1326</v>
      </c>
      <c r="E49" s="4"/>
      <c r="F49" s="4"/>
    </row>
    <row r="50" spans="1:19">
      <c r="A50" s="5" t="s">
        <v>1328</v>
      </c>
      <c r="B50" s="44">
        <f>R86-R87</f>
        <v>4.0321632323936001</v>
      </c>
      <c r="C50" t="s">
        <v>1329</v>
      </c>
    </row>
    <row r="51" spans="1:19">
      <c r="A51" s="5" t="s">
        <v>1330</v>
      </c>
      <c r="B51" s="44">
        <f>R84</f>
        <v>14.965077240000005</v>
      </c>
      <c r="C51" t="s">
        <v>1329</v>
      </c>
    </row>
    <row r="52" spans="1:19">
      <c r="A52" s="6" t="s">
        <v>1331</v>
      </c>
      <c r="B52" s="13">
        <f>B51+B50</f>
        <v>18.997240472393607</v>
      </c>
      <c r="C52" t="s">
        <v>1329</v>
      </c>
      <c r="I52" s="2"/>
    </row>
    <row r="53" spans="1:19">
      <c r="A53" s="5" t="s">
        <v>1332</v>
      </c>
      <c r="B53" s="108">
        <f>B50/B52</f>
        <v>0.21224994431444164</v>
      </c>
    </row>
    <row r="54" spans="1:19" ht="15" thickBot="1"/>
    <row r="55" spans="1:19">
      <c r="A55" s="21"/>
      <c r="B55" s="1858" t="s">
        <v>1333</v>
      </c>
      <c r="C55" s="1859"/>
      <c r="D55" s="1860"/>
      <c r="E55" s="1858" t="s">
        <v>689</v>
      </c>
      <c r="F55" s="1859"/>
      <c r="G55" s="1859"/>
      <c r="H55" s="1859"/>
      <c r="I55" s="1863" t="s">
        <v>1334</v>
      </c>
      <c r="J55" s="1864"/>
      <c r="K55" s="1864"/>
      <c r="L55" s="1864"/>
      <c r="M55" s="1865"/>
      <c r="N55" s="1855" t="s">
        <v>1335</v>
      </c>
      <c r="O55" s="1856"/>
      <c r="P55" s="1856"/>
      <c r="Q55" s="1857"/>
      <c r="R55" s="1861" t="s">
        <v>1336</v>
      </c>
      <c r="S55" s="1862"/>
    </row>
    <row r="56" spans="1:19" ht="60.6">
      <c r="A56" s="17" t="s">
        <v>1337</v>
      </c>
      <c r="B56" s="30" t="s">
        <v>1338</v>
      </c>
      <c r="C56" s="15" t="s">
        <v>1339</v>
      </c>
      <c r="D56" s="31" t="s">
        <v>1340</v>
      </c>
      <c r="E56" s="30" t="s">
        <v>1341</v>
      </c>
      <c r="F56" s="15" t="s">
        <v>1342</v>
      </c>
      <c r="G56" s="15" t="s">
        <v>1343</v>
      </c>
      <c r="H56" s="17" t="s">
        <v>1344</v>
      </c>
      <c r="I56" s="46" t="s">
        <v>1345</v>
      </c>
      <c r="J56" s="47" t="s">
        <v>1346</v>
      </c>
      <c r="K56" s="47" t="s">
        <v>1347</v>
      </c>
      <c r="L56" s="47" t="s">
        <v>1348</v>
      </c>
      <c r="M56" s="48" t="s">
        <v>1349</v>
      </c>
      <c r="N56" s="51" t="s">
        <v>1350</v>
      </c>
      <c r="O56" s="52" t="s">
        <v>1351</v>
      </c>
      <c r="P56" s="52" t="s">
        <v>1352</v>
      </c>
      <c r="Q56" s="53" t="s">
        <v>1353</v>
      </c>
      <c r="R56" s="49" t="s">
        <v>1350</v>
      </c>
      <c r="S56" s="50" t="s">
        <v>1351</v>
      </c>
    </row>
    <row r="57" spans="1:19">
      <c r="A57" s="21" t="s">
        <v>770</v>
      </c>
      <c r="B57" s="171" t="s">
        <v>1354</v>
      </c>
      <c r="C57" s="172" t="s">
        <v>1355</v>
      </c>
      <c r="D57" s="33">
        <v>0</v>
      </c>
      <c r="E57" s="24">
        <v>0</v>
      </c>
      <c r="F57" s="5">
        <f>D57-E57</f>
        <v>0</v>
      </c>
      <c r="G57" s="173">
        <f t="shared" ref="G57:G79" si="0">F57*H57</f>
        <v>0</v>
      </c>
      <c r="H57" s="45">
        <v>0.25</v>
      </c>
      <c r="I57" s="170"/>
      <c r="J57" s="5"/>
      <c r="K57" s="5"/>
      <c r="L57" s="5"/>
      <c r="M57" s="25"/>
      <c r="N57" s="24"/>
      <c r="O57" s="5"/>
      <c r="P57" s="5"/>
      <c r="Q57" s="25"/>
      <c r="R57" s="23"/>
      <c r="S57" s="25"/>
    </row>
    <row r="58" spans="1:19">
      <c r="A58" s="21" t="s">
        <v>770</v>
      </c>
      <c r="B58" s="171" t="s">
        <v>1356</v>
      </c>
      <c r="C58" s="172" t="s">
        <v>1357</v>
      </c>
      <c r="D58" s="33">
        <v>0</v>
      </c>
      <c r="E58" s="24">
        <v>0</v>
      </c>
      <c r="F58" s="5">
        <f t="shared" ref="F58:F79" si="1">D58-E58</f>
        <v>0</v>
      </c>
      <c r="G58" s="173">
        <f t="shared" si="0"/>
        <v>0</v>
      </c>
      <c r="H58" s="45">
        <v>0.25</v>
      </c>
      <c r="I58" s="170"/>
      <c r="J58" s="5"/>
      <c r="K58" s="5"/>
      <c r="L58" s="5"/>
      <c r="M58" s="25"/>
      <c r="N58" s="24"/>
      <c r="O58" s="5"/>
      <c r="P58" s="5"/>
      <c r="Q58" s="25"/>
      <c r="R58" s="23"/>
      <c r="S58" s="25"/>
    </row>
    <row r="59" spans="1:19">
      <c r="A59" s="21" t="s">
        <v>770</v>
      </c>
      <c r="B59" s="171" t="s">
        <v>1358</v>
      </c>
      <c r="C59" s="172" t="s">
        <v>1359</v>
      </c>
      <c r="D59" s="33">
        <v>25</v>
      </c>
      <c r="E59" s="24">
        <v>20</v>
      </c>
      <c r="F59" s="5">
        <f t="shared" si="1"/>
        <v>5</v>
      </c>
      <c r="G59" s="173">
        <f>F59*H59</f>
        <v>1.25</v>
      </c>
      <c r="H59" s="45">
        <v>0.25</v>
      </c>
      <c r="I59" s="170"/>
      <c r="J59" s="5"/>
      <c r="K59" s="5"/>
      <c r="L59" s="5"/>
      <c r="M59" s="25"/>
      <c r="N59" s="24"/>
      <c r="O59" s="5"/>
      <c r="P59" s="5"/>
      <c r="Q59" s="25"/>
      <c r="R59" s="23"/>
      <c r="S59" s="25"/>
    </row>
    <row r="60" spans="1:19">
      <c r="A60" s="21" t="s">
        <v>770</v>
      </c>
      <c r="B60" s="171" t="s">
        <v>1360</v>
      </c>
      <c r="C60" s="172" t="s">
        <v>1361</v>
      </c>
      <c r="D60" s="33">
        <v>125</v>
      </c>
      <c r="E60" s="24">
        <v>91</v>
      </c>
      <c r="F60" s="5">
        <f>D60-E60</f>
        <v>34</v>
      </c>
      <c r="G60" s="173">
        <f t="shared" si="0"/>
        <v>6.8000000000000007</v>
      </c>
      <c r="H60" s="45">
        <v>0.2</v>
      </c>
      <c r="I60" s="170"/>
      <c r="J60" s="5"/>
      <c r="K60" s="5"/>
      <c r="L60" s="5"/>
      <c r="M60" s="25"/>
      <c r="N60" s="24"/>
      <c r="O60" s="5"/>
      <c r="P60" s="5"/>
      <c r="Q60" s="25"/>
      <c r="R60" s="23"/>
      <c r="S60" s="25"/>
    </row>
    <row r="61" spans="1:19">
      <c r="A61" s="21" t="s">
        <v>770</v>
      </c>
      <c r="B61" s="171" t="s">
        <v>1362</v>
      </c>
      <c r="C61" s="172" t="s">
        <v>1363</v>
      </c>
      <c r="D61" s="33">
        <v>336</v>
      </c>
      <c r="E61" s="24">
        <v>236</v>
      </c>
      <c r="F61" s="5">
        <f t="shared" si="1"/>
        <v>100</v>
      </c>
      <c r="G61" s="173">
        <f t="shared" si="0"/>
        <v>0</v>
      </c>
      <c r="H61" s="45">
        <v>0</v>
      </c>
      <c r="I61" s="170"/>
      <c r="J61" s="5"/>
      <c r="K61" s="5"/>
      <c r="L61" s="5"/>
      <c r="M61" s="25"/>
      <c r="N61" s="24"/>
      <c r="O61" s="5"/>
      <c r="P61" s="5"/>
      <c r="Q61" s="25"/>
      <c r="R61" s="23"/>
      <c r="S61" s="25"/>
    </row>
    <row r="62" spans="1:19">
      <c r="A62" s="21" t="s">
        <v>770</v>
      </c>
      <c r="B62" s="171" t="s">
        <v>1364</v>
      </c>
      <c r="C62" s="172" t="s">
        <v>1365</v>
      </c>
      <c r="D62" s="33">
        <v>423</v>
      </c>
      <c r="E62" s="24">
        <v>239</v>
      </c>
      <c r="F62" s="5">
        <f t="shared" si="1"/>
        <v>184</v>
      </c>
      <c r="G62" s="173">
        <f t="shared" si="0"/>
        <v>0</v>
      </c>
      <c r="H62" s="45">
        <v>0</v>
      </c>
      <c r="I62" s="170"/>
      <c r="J62" s="12"/>
      <c r="K62" s="12"/>
      <c r="L62" s="12">
        <f>(1-$C$36)*$C$34+$C$36*C62</f>
        <v>70.599999999999994</v>
      </c>
      <c r="M62" s="25"/>
      <c r="N62" s="24"/>
      <c r="O62" s="5"/>
      <c r="P62" s="5"/>
      <c r="Q62" s="25"/>
      <c r="R62" s="23"/>
      <c r="S62" s="25"/>
    </row>
    <row r="63" spans="1:19">
      <c r="A63" s="21" t="s">
        <v>770</v>
      </c>
      <c r="B63" s="171" t="s">
        <v>1366</v>
      </c>
      <c r="C63" s="172" t="s">
        <v>1367</v>
      </c>
      <c r="D63" s="33">
        <v>718</v>
      </c>
      <c r="E63" s="24">
        <v>309</v>
      </c>
      <c r="F63" s="5">
        <f>D63-E63</f>
        <v>409</v>
      </c>
      <c r="G63" s="173">
        <f>F63*H63</f>
        <v>0</v>
      </c>
      <c r="H63" s="45">
        <v>0</v>
      </c>
      <c r="I63" s="170">
        <f t="shared" ref="I63:I79" si="2">MAX(($C$40-C63),0)*E63</f>
        <v>0</v>
      </c>
      <c r="J63" s="12"/>
      <c r="K63" s="12"/>
      <c r="L63" s="12">
        <f t="shared" ref="L63:L79" si="3">(1-$C$36)*$C$34+$C$36*C63</f>
        <v>69.099999999999994</v>
      </c>
      <c r="M63" s="94">
        <f t="shared" ref="M63:M79" si="4">IF(L63&lt;$C$42,($C$42-L63)*$C$32*$C$26*E63/$C$33,0)</f>
        <v>0</v>
      </c>
      <c r="N63" s="24">
        <f t="shared" ref="N63:N79" si="5">MAX(($C$41-C63),0)*F63</f>
        <v>0</v>
      </c>
      <c r="O63" s="5">
        <f>I63+N63</f>
        <v>0</v>
      </c>
      <c r="P63" s="12"/>
      <c r="Q63" s="140"/>
      <c r="R63" s="23">
        <f>MAX(($C$45-C63),0)*F63</f>
        <v>0</v>
      </c>
      <c r="S63" s="25">
        <f>R63+I63</f>
        <v>0</v>
      </c>
    </row>
    <row r="64" spans="1:19">
      <c r="A64" s="21" t="s">
        <v>770</v>
      </c>
      <c r="B64" s="171" t="s">
        <v>1368</v>
      </c>
      <c r="C64" s="172" t="s">
        <v>1369</v>
      </c>
      <c r="D64" s="33">
        <v>1050</v>
      </c>
      <c r="E64" s="24">
        <v>328</v>
      </c>
      <c r="F64" s="5">
        <f t="shared" si="1"/>
        <v>722</v>
      </c>
      <c r="G64" s="173">
        <f t="shared" si="0"/>
        <v>0</v>
      </c>
      <c r="H64" s="45">
        <v>0</v>
      </c>
      <c r="I64" s="170">
        <f t="shared" si="2"/>
        <v>1312</v>
      </c>
      <c r="J64" s="12">
        <f t="shared" ref="J64:J79" si="6">(1-$C$35)*$C$34+$C$35*C64</f>
        <v>68.8</v>
      </c>
      <c r="K64" s="12"/>
      <c r="L64" s="12">
        <f t="shared" si="3"/>
        <v>67.599999999999994</v>
      </c>
      <c r="M64" s="94">
        <f t="shared" si="4"/>
        <v>0</v>
      </c>
      <c r="N64" s="24">
        <f t="shared" si="5"/>
        <v>3610</v>
      </c>
      <c r="O64" s="5">
        <f t="shared" ref="O64:O79" si="7">I64+N64</f>
        <v>4922</v>
      </c>
      <c r="P64" s="12">
        <f t="shared" ref="P64:P79" si="8">IF(J64&lt;$C$41,($C$41-J64)*$C$32*$C$24*F64/$C$33,0)</f>
        <v>0</v>
      </c>
      <c r="Q64" s="94">
        <f>($C$43-L64)*$C$32*$C$26*F64/$C$33</f>
        <v>0.19649952000000281</v>
      </c>
      <c r="R64" s="23">
        <f t="shared" ref="R64:R79" si="9">MAX(($C$45-C64),0)*F64</f>
        <v>722</v>
      </c>
      <c r="S64" s="25">
        <f t="shared" ref="S64:S79" si="10">R64+I64</f>
        <v>2034</v>
      </c>
    </row>
    <row r="65" spans="1:19">
      <c r="A65" s="21" t="s">
        <v>770</v>
      </c>
      <c r="B65" s="171" t="s">
        <v>1370</v>
      </c>
      <c r="C65" s="172" t="s">
        <v>1371</v>
      </c>
      <c r="D65" s="33">
        <v>793</v>
      </c>
      <c r="E65" s="24">
        <v>259</v>
      </c>
      <c r="F65" s="5">
        <f t="shared" si="1"/>
        <v>534</v>
      </c>
      <c r="G65" s="173">
        <f t="shared" si="0"/>
        <v>53.400000000000006</v>
      </c>
      <c r="H65" s="45">
        <v>0.1</v>
      </c>
      <c r="I65" s="170">
        <f t="shared" si="2"/>
        <v>2331</v>
      </c>
      <c r="J65" s="12">
        <f t="shared" si="6"/>
        <v>68.05</v>
      </c>
      <c r="K65" s="12">
        <f t="shared" ref="K65:K79" si="11">IF(J65&lt;$C$40,($C$40-J65)*$C$32*$C$24*E65/$C$33,0)</f>
        <v>0</v>
      </c>
      <c r="L65" s="12">
        <f t="shared" si="3"/>
        <v>66.099999999999994</v>
      </c>
      <c r="M65" s="94">
        <f t="shared" si="4"/>
        <v>0</v>
      </c>
      <c r="N65" s="24">
        <f t="shared" si="5"/>
        <v>5340</v>
      </c>
      <c r="O65" s="5">
        <f t="shared" si="7"/>
        <v>7671</v>
      </c>
      <c r="P65" s="12">
        <f t="shared" si="8"/>
        <v>0</v>
      </c>
      <c r="Q65" s="94">
        <f t="shared" ref="Q65:Q78" si="12">($C$43-L65)*$C$32*$C$26*F65/$C$33</f>
        <v>0.69033384000000209</v>
      </c>
      <c r="R65" s="23">
        <f t="shared" si="9"/>
        <v>3204</v>
      </c>
      <c r="S65" s="25">
        <f t="shared" si="10"/>
        <v>5535</v>
      </c>
    </row>
    <row r="66" spans="1:19">
      <c r="A66" s="21" t="s">
        <v>565</v>
      </c>
      <c r="B66" s="171" t="s">
        <v>1372</v>
      </c>
      <c r="C66" s="172" t="s">
        <v>1373</v>
      </c>
      <c r="D66" s="33">
        <v>646</v>
      </c>
      <c r="E66" s="24">
        <v>236</v>
      </c>
      <c r="F66" s="5">
        <f t="shared" si="1"/>
        <v>410</v>
      </c>
      <c r="G66" s="173">
        <f t="shared" si="0"/>
        <v>63.07692307692308</v>
      </c>
      <c r="H66" s="45">
        <f>H65+(H$78-H$65)/13</f>
        <v>0.15384615384615385</v>
      </c>
      <c r="I66" s="170">
        <f t="shared" si="2"/>
        <v>3304</v>
      </c>
      <c r="J66" s="12">
        <f t="shared" si="6"/>
        <v>67.3</v>
      </c>
      <c r="K66" s="12">
        <f t="shared" si="11"/>
        <v>0</v>
      </c>
      <c r="L66" s="12">
        <f t="shared" si="3"/>
        <v>64.599999999999994</v>
      </c>
      <c r="M66" s="94">
        <f t="shared" si="4"/>
        <v>0</v>
      </c>
      <c r="N66" s="24">
        <f t="shared" si="5"/>
        <v>6150</v>
      </c>
      <c r="O66" s="5">
        <f t="shared" si="7"/>
        <v>9454</v>
      </c>
      <c r="P66" s="12">
        <f t="shared" si="8"/>
        <v>0</v>
      </c>
      <c r="Q66" s="94">
        <f t="shared" si="12"/>
        <v>0.94847760000000148</v>
      </c>
      <c r="R66" s="23">
        <f t="shared" si="9"/>
        <v>4510</v>
      </c>
      <c r="S66" s="25">
        <f t="shared" si="10"/>
        <v>7814</v>
      </c>
    </row>
    <row r="67" spans="1:19">
      <c r="A67" s="21" t="s">
        <v>565</v>
      </c>
      <c r="B67" s="171" t="s">
        <v>1374</v>
      </c>
      <c r="C67" s="172" t="s">
        <v>1375</v>
      </c>
      <c r="D67" s="33">
        <v>459</v>
      </c>
      <c r="E67" s="24">
        <v>182</v>
      </c>
      <c r="F67" s="5">
        <f t="shared" si="1"/>
        <v>277</v>
      </c>
      <c r="G67" s="173">
        <f t="shared" si="0"/>
        <v>57.530769230769231</v>
      </c>
      <c r="H67" s="45">
        <f t="shared" ref="H67:H77" si="13">H66+(H$78-H$65)/13</f>
        <v>0.2076923076923077</v>
      </c>
      <c r="I67" s="170">
        <f t="shared" si="2"/>
        <v>3458</v>
      </c>
      <c r="J67" s="12">
        <f t="shared" si="6"/>
        <v>66.55</v>
      </c>
      <c r="K67" s="12">
        <f t="shared" si="11"/>
        <v>0</v>
      </c>
      <c r="L67" s="12">
        <f t="shared" si="3"/>
        <v>63.1</v>
      </c>
      <c r="M67" s="94">
        <f t="shared" si="4"/>
        <v>0</v>
      </c>
      <c r="N67" s="24">
        <f t="shared" si="5"/>
        <v>5540</v>
      </c>
      <c r="O67" s="5">
        <f t="shared" si="7"/>
        <v>8998</v>
      </c>
      <c r="P67" s="12">
        <f t="shared" si="8"/>
        <v>0.12115980000000078</v>
      </c>
      <c r="Q67" s="94">
        <f t="shared" si="12"/>
        <v>0.92350691999999979</v>
      </c>
      <c r="R67" s="23">
        <f t="shared" si="9"/>
        <v>4432</v>
      </c>
      <c r="S67" s="25">
        <f t="shared" si="10"/>
        <v>7890</v>
      </c>
    </row>
    <row r="68" spans="1:19">
      <c r="A68" s="21" t="s">
        <v>565</v>
      </c>
      <c r="B68" s="171" t="s">
        <v>1376</v>
      </c>
      <c r="C68" s="172" t="s">
        <v>1377</v>
      </c>
      <c r="D68" s="33">
        <v>648</v>
      </c>
      <c r="E68" s="24">
        <v>212</v>
      </c>
      <c r="F68" s="5">
        <f t="shared" si="1"/>
        <v>436</v>
      </c>
      <c r="G68" s="173">
        <f t="shared" si="0"/>
        <v>114.03076923076924</v>
      </c>
      <c r="H68" s="45">
        <f t="shared" si="13"/>
        <v>0.26153846153846155</v>
      </c>
      <c r="I68" s="170">
        <f t="shared" si="2"/>
        <v>5088</v>
      </c>
      <c r="J68" s="12">
        <f t="shared" si="6"/>
        <v>65.8</v>
      </c>
      <c r="K68" s="12">
        <f t="shared" si="11"/>
        <v>4.1212800000000584E-2</v>
      </c>
      <c r="L68" s="12">
        <f>(1-$C$36)*$C$34+$C$36*C68</f>
        <v>61.6</v>
      </c>
      <c r="M68" s="94">
        <f t="shared" si="4"/>
        <v>5.7697919999999805E-2</v>
      </c>
      <c r="N68" s="24">
        <f t="shared" si="5"/>
        <v>10900</v>
      </c>
      <c r="O68" s="5">
        <f t="shared" si="7"/>
        <v>15988</v>
      </c>
      <c r="P68" s="12">
        <f t="shared" si="8"/>
        <v>0.50855040000000118</v>
      </c>
      <c r="Q68" s="94">
        <f t="shared" si="12"/>
        <v>1.8985881599999999</v>
      </c>
      <c r="R68" s="23">
        <f t="shared" si="9"/>
        <v>9156</v>
      </c>
      <c r="S68" s="25">
        <f t="shared" si="10"/>
        <v>14244</v>
      </c>
    </row>
    <row r="69" spans="1:19">
      <c r="A69" s="21" t="s">
        <v>565</v>
      </c>
      <c r="B69" s="171" t="s">
        <v>1378</v>
      </c>
      <c r="C69" s="172" t="s">
        <v>1379</v>
      </c>
      <c r="D69" s="33">
        <v>857</v>
      </c>
      <c r="E69" s="24">
        <v>275</v>
      </c>
      <c r="F69" s="5">
        <f t="shared" si="1"/>
        <v>582</v>
      </c>
      <c r="G69" s="173">
        <f t="shared" si="0"/>
        <v>183.55384615384614</v>
      </c>
      <c r="H69" s="45">
        <f t="shared" si="13"/>
        <v>0.31538461538461537</v>
      </c>
      <c r="I69" s="170">
        <f t="shared" si="2"/>
        <v>7975</v>
      </c>
      <c r="J69" s="12">
        <f t="shared" si="6"/>
        <v>65.05</v>
      </c>
      <c r="K69" s="12">
        <f t="shared" si="11"/>
        <v>0.2539350000000008</v>
      </c>
      <c r="L69" s="12">
        <f>(1-$C$36)*$C$34+$C$36*C69</f>
        <v>60.1</v>
      </c>
      <c r="M69" s="94">
        <f t="shared" si="4"/>
        <v>0.3555089999999998</v>
      </c>
      <c r="N69" s="24">
        <f t="shared" si="5"/>
        <v>17460</v>
      </c>
      <c r="O69" s="5">
        <f t="shared" si="7"/>
        <v>25435</v>
      </c>
      <c r="P69" s="12">
        <f t="shared" si="8"/>
        <v>1.1031228000000017</v>
      </c>
      <c r="Q69" s="94">
        <f t="shared" si="12"/>
        <v>3.1283431199999994</v>
      </c>
      <c r="R69" s="23">
        <f t="shared" si="9"/>
        <v>15132</v>
      </c>
      <c r="S69" s="25">
        <f t="shared" si="10"/>
        <v>23107</v>
      </c>
    </row>
    <row r="70" spans="1:19">
      <c r="A70" s="21" t="s">
        <v>565</v>
      </c>
      <c r="B70" s="171" t="s">
        <v>1380</v>
      </c>
      <c r="C70" s="172" t="s">
        <v>1381</v>
      </c>
      <c r="D70" s="33">
        <v>787</v>
      </c>
      <c r="E70" s="24">
        <v>287</v>
      </c>
      <c r="F70" s="5">
        <f t="shared" si="1"/>
        <v>500</v>
      </c>
      <c r="G70" s="173">
        <f t="shared" si="0"/>
        <v>184.61538461538461</v>
      </c>
      <c r="H70" s="45">
        <f t="shared" si="13"/>
        <v>0.36923076923076925</v>
      </c>
      <c r="I70" s="170">
        <f t="shared" si="2"/>
        <v>9758</v>
      </c>
      <c r="J70" s="12">
        <f t="shared" si="6"/>
        <v>64.3</v>
      </c>
      <c r="K70" s="12">
        <f t="shared" si="11"/>
        <v>0.4742388000000009</v>
      </c>
      <c r="L70" s="12">
        <f t="shared" si="3"/>
        <v>58.6</v>
      </c>
      <c r="M70" s="94">
        <f t="shared" si="4"/>
        <v>0.66393431999999986</v>
      </c>
      <c r="N70" s="24">
        <f t="shared" si="5"/>
        <v>17500</v>
      </c>
      <c r="O70" s="5">
        <f t="shared" si="7"/>
        <v>27258</v>
      </c>
      <c r="P70" s="12">
        <f t="shared" si="8"/>
        <v>1.3122000000000016</v>
      </c>
      <c r="Q70" s="94">
        <f t="shared" si="12"/>
        <v>3.1978799999999996</v>
      </c>
      <c r="R70" s="23">
        <f t="shared" si="9"/>
        <v>15500</v>
      </c>
      <c r="S70" s="25">
        <f t="shared" si="10"/>
        <v>25258</v>
      </c>
    </row>
    <row r="71" spans="1:19">
      <c r="A71" s="21" t="s">
        <v>565</v>
      </c>
      <c r="B71" s="171" t="s">
        <v>1382</v>
      </c>
      <c r="C71" s="172" t="s">
        <v>1383</v>
      </c>
      <c r="D71" s="33">
        <v>564</v>
      </c>
      <c r="E71" s="24">
        <v>198</v>
      </c>
      <c r="F71" s="5">
        <f t="shared" si="1"/>
        <v>366</v>
      </c>
      <c r="G71" s="173">
        <f t="shared" si="0"/>
        <v>154.84615384615387</v>
      </c>
      <c r="H71" s="45">
        <f t="shared" si="13"/>
        <v>0.42307692307692313</v>
      </c>
      <c r="I71" s="170">
        <f t="shared" si="2"/>
        <v>7722</v>
      </c>
      <c r="J71" s="12">
        <f t="shared" si="6"/>
        <v>63.55</v>
      </c>
      <c r="K71" s="12">
        <f t="shared" si="11"/>
        <v>0.47151720000000064</v>
      </c>
      <c r="L71" s="12">
        <f t="shared" si="3"/>
        <v>57.1</v>
      </c>
      <c r="M71" s="94">
        <f t="shared" si="4"/>
        <v>0.66012407999999978</v>
      </c>
      <c r="N71" s="24">
        <f t="shared" si="5"/>
        <v>14640</v>
      </c>
      <c r="O71" s="5">
        <f t="shared" si="7"/>
        <v>22362</v>
      </c>
      <c r="P71" s="12">
        <f t="shared" si="8"/>
        <v>1.2273444000000011</v>
      </c>
      <c r="Q71" s="94">
        <f t="shared" si="12"/>
        <v>2.7143877599999997</v>
      </c>
      <c r="R71" s="23">
        <f t="shared" si="9"/>
        <v>13176</v>
      </c>
      <c r="S71" s="25">
        <f t="shared" si="10"/>
        <v>20898</v>
      </c>
    </row>
    <row r="72" spans="1:19">
      <c r="A72" s="21" t="s">
        <v>565</v>
      </c>
      <c r="B72" s="171" t="s">
        <v>1384</v>
      </c>
      <c r="C72" s="172" t="s">
        <v>1385</v>
      </c>
      <c r="D72" s="33">
        <v>527</v>
      </c>
      <c r="E72" s="24">
        <v>176</v>
      </c>
      <c r="F72" s="5">
        <f t="shared" si="1"/>
        <v>351</v>
      </c>
      <c r="G72" s="173">
        <f t="shared" si="0"/>
        <v>167.40000000000003</v>
      </c>
      <c r="H72" s="45">
        <f t="shared" si="13"/>
        <v>0.47692307692307701</v>
      </c>
      <c r="I72" s="170">
        <f t="shared" si="2"/>
        <v>7744</v>
      </c>
      <c r="J72" s="12">
        <f t="shared" si="6"/>
        <v>62.8</v>
      </c>
      <c r="K72" s="12">
        <f t="shared" si="11"/>
        <v>0.54743040000000065</v>
      </c>
      <c r="L72" s="12">
        <f t="shared" si="3"/>
        <v>55.6</v>
      </c>
      <c r="M72" s="94">
        <f t="shared" si="4"/>
        <v>0.76640255999999984</v>
      </c>
      <c r="N72" s="24">
        <f t="shared" si="5"/>
        <v>15795</v>
      </c>
      <c r="O72" s="5">
        <f t="shared" si="7"/>
        <v>23539</v>
      </c>
      <c r="P72" s="12">
        <f t="shared" si="8"/>
        <v>1.4329224000000014</v>
      </c>
      <c r="Q72" s="94">
        <f t="shared" si="12"/>
        <v>2.9613729599999998</v>
      </c>
      <c r="R72" s="23">
        <f t="shared" si="9"/>
        <v>14391</v>
      </c>
      <c r="S72" s="25">
        <f t="shared" si="10"/>
        <v>22135</v>
      </c>
    </row>
    <row r="73" spans="1:19">
      <c r="A73" s="21" t="s">
        <v>565</v>
      </c>
      <c r="B73" s="171" t="s">
        <v>1386</v>
      </c>
      <c r="C73" s="172" t="s">
        <v>1387</v>
      </c>
      <c r="D73" s="33">
        <v>330</v>
      </c>
      <c r="E73" s="24">
        <v>152</v>
      </c>
      <c r="F73" s="5">
        <f t="shared" si="1"/>
        <v>178</v>
      </c>
      <c r="G73" s="173">
        <f t="shared" si="0"/>
        <v>94.4769230769231</v>
      </c>
      <c r="H73" s="45">
        <f t="shared" si="13"/>
        <v>0.53076923076923088</v>
      </c>
      <c r="I73" s="170">
        <f t="shared" si="2"/>
        <v>7448</v>
      </c>
      <c r="J73" s="12">
        <f t="shared" si="6"/>
        <v>62.05</v>
      </c>
      <c r="K73" s="12">
        <f t="shared" si="11"/>
        <v>0.58358880000000057</v>
      </c>
      <c r="L73" s="12">
        <f t="shared" si="3"/>
        <v>54.1</v>
      </c>
      <c r="M73" s="94">
        <f t="shared" si="4"/>
        <v>0.81702431999999992</v>
      </c>
      <c r="N73" s="24">
        <f t="shared" si="5"/>
        <v>8900</v>
      </c>
      <c r="O73" s="5">
        <f t="shared" si="7"/>
        <v>16348</v>
      </c>
      <c r="P73" s="12">
        <f t="shared" si="8"/>
        <v>0.85642920000000056</v>
      </c>
      <c r="Q73" s="94">
        <f t="shared" si="12"/>
        <v>1.6834456799999997</v>
      </c>
      <c r="R73" s="23">
        <f t="shared" si="9"/>
        <v>8188</v>
      </c>
      <c r="S73" s="25">
        <f t="shared" si="10"/>
        <v>15636</v>
      </c>
    </row>
    <row r="74" spans="1:19">
      <c r="A74" s="21" t="s">
        <v>565</v>
      </c>
      <c r="B74" s="171" t="s">
        <v>1388</v>
      </c>
      <c r="C74" s="172" t="s">
        <v>1389</v>
      </c>
      <c r="D74" s="33">
        <v>263</v>
      </c>
      <c r="E74" s="24">
        <v>88</v>
      </c>
      <c r="F74" s="5">
        <f t="shared" si="1"/>
        <v>175</v>
      </c>
      <c r="G74" s="173">
        <f t="shared" si="0"/>
        <v>102.30769230769234</v>
      </c>
      <c r="H74" s="45">
        <f t="shared" si="13"/>
        <v>0.58461538461538476</v>
      </c>
      <c r="I74" s="170">
        <f t="shared" si="2"/>
        <v>4752</v>
      </c>
      <c r="J74" s="12">
        <f t="shared" si="6"/>
        <v>61.3</v>
      </c>
      <c r="K74" s="12">
        <f t="shared" si="11"/>
        <v>0.4020192000000003</v>
      </c>
      <c r="L74" s="12">
        <f t="shared" si="3"/>
        <v>52.6</v>
      </c>
      <c r="M74" s="94">
        <f t="shared" si="4"/>
        <v>0.56282687999999992</v>
      </c>
      <c r="N74" s="24">
        <f t="shared" si="5"/>
        <v>9625</v>
      </c>
      <c r="O74" s="5">
        <f t="shared" si="7"/>
        <v>14377</v>
      </c>
      <c r="P74" s="12">
        <f t="shared" si="8"/>
        <v>0.96957000000000049</v>
      </c>
      <c r="Q74" s="94">
        <f t="shared" si="12"/>
        <v>1.8336779999999999</v>
      </c>
      <c r="R74" s="23">
        <f t="shared" si="9"/>
        <v>8925</v>
      </c>
      <c r="S74" s="25">
        <f t="shared" si="10"/>
        <v>13677</v>
      </c>
    </row>
    <row r="75" spans="1:19">
      <c r="A75" s="21" t="s">
        <v>565</v>
      </c>
      <c r="B75" s="171" t="s">
        <v>1390</v>
      </c>
      <c r="C75" s="172" t="s">
        <v>1391</v>
      </c>
      <c r="D75" s="33">
        <v>126</v>
      </c>
      <c r="E75" s="24">
        <v>59</v>
      </c>
      <c r="F75" s="5">
        <f t="shared" si="1"/>
        <v>67</v>
      </c>
      <c r="G75" s="173">
        <f t="shared" si="0"/>
        <v>42.77692307692309</v>
      </c>
      <c r="H75" s="45">
        <f t="shared" si="13"/>
        <v>0.63846153846153864</v>
      </c>
      <c r="I75" s="170">
        <f t="shared" si="2"/>
        <v>3481</v>
      </c>
      <c r="J75" s="12">
        <f t="shared" si="6"/>
        <v>60.55</v>
      </c>
      <c r="K75" s="12">
        <f t="shared" si="11"/>
        <v>0.31254660000000017</v>
      </c>
      <c r="L75" s="12">
        <f t="shared" si="3"/>
        <v>51.1</v>
      </c>
      <c r="M75" s="94">
        <f t="shared" si="4"/>
        <v>0.43756523999999997</v>
      </c>
      <c r="N75" s="24">
        <f t="shared" si="5"/>
        <v>4020</v>
      </c>
      <c r="O75" s="5">
        <f t="shared" si="7"/>
        <v>7501</v>
      </c>
      <c r="P75" s="12">
        <f t="shared" si="8"/>
        <v>0.42004980000000025</v>
      </c>
      <c r="Q75" s="94">
        <f t="shared" si="12"/>
        <v>0.77041691999999984</v>
      </c>
      <c r="R75" s="23">
        <f t="shared" si="9"/>
        <v>3752</v>
      </c>
      <c r="S75" s="25">
        <f t="shared" si="10"/>
        <v>7233</v>
      </c>
    </row>
    <row r="76" spans="1:19">
      <c r="A76" s="21" t="s">
        <v>565</v>
      </c>
      <c r="B76" s="171" t="s">
        <v>1392</v>
      </c>
      <c r="C76" s="172" t="s">
        <v>1393</v>
      </c>
      <c r="D76" s="33">
        <v>55</v>
      </c>
      <c r="E76" s="24">
        <v>25</v>
      </c>
      <c r="F76" s="5">
        <f t="shared" si="1"/>
        <v>30</v>
      </c>
      <c r="G76" s="173">
        <f t="shared" si="0"/>
        <v>20.769230769230774</v>
      </c>
      <c r="H76" s="45">
        <f t="shared" si="13"/>
        <v>0.69230769230769251</v>
      </c>
      <c r="I76" s="170">
        <f t="shared" si="2"/>
        <v>1600</v>
      </c>
      <c r="J76" s="12">
        <f t="shared" si="6"/>
        <v>59.8</v>
      </c>
      <c r="K76" s="12">
        <f t="shared" si="11"/>
        <v>0.15066000000000007</v>
      </c>
      <c r="L76" s="12">
        <f t="shared" si="3"/>
        <v>49.6</v>
      </c>
      <c r="M76" s="94">
        <f t="shared" si="4"/>
        <v>0.21092399999999997</v>
      </c>
      <c r="N76" s="24">
        <f t="shared" si="5"/>
        <v>1950</v>
      </c>
      <c r="O76" s="5">
        <f t="shared" si="7"/>
        <v>3550</v>
      </c>
      <c r="P76" s="12">
        <f t="shared" si="8"/>
        <v>0.20995200000000008</v>
      </c>
      <c r="Q76" s="94">
        <f t="shared" si="12"/>
        <v>0.37558079999999999</v>
      </c>
      <c r="R76" s="23">
        <f t="shared" si="9"/>
        <v>1830</v>
      </c>
      <c r="S76" s="25">
        <f t="shared" si="10"/>
        <v>3430</v>
      </c>
    </row>
    <row r="77" spans="1:19">
      <c r="A77" s="21" t="s">
        <v>565</v>
      </c>
      <c r="B77" s="171" t="s">
        <v>1394</v>
      </c>
      <c r="C77" s="172" t="s">
        <v>1395</v>
      </c>
      <c r="D77" s="33">
        <v>16</v>
      </c>
      <c r="E77" s="24">
        <v>5</v>
      </c>
      <c r="F77" s="5">
        <f t="shared" si="1"/>
        <v>11</v>
      </c>
      <c r="G77" s="173">
        <f t="shared" si="0"/>
        <v>8.2076923076923105</v>
      </c>
      <c r="H77" s="45">
        <f t="shared" si="13"/>
        <v>0.74615384615384639</v>
      </c>
      <c r="I77" s="170">
        <f t="shared" si="2"/>
        <v>345</v>
      </c>
      <c r="J77" s="12">
        <f t="shared" si="6"/>
        <v>59.05</v>
      </c>
      <c r="K77" s="12">
        <f t="shared" si="11"/>
        <v>3.3777000000000015E-2</v>
      </c>
      <c r="L77" s="12">
        <f t="shared" si="3"/>
        <v>48.1</v>
      </c>
      <c r="M77" s="94">
        <f t="shared" si="4"/>
        <v>4.7287799999999998E-2</v>
      </c>
      <c r="N77" s="24">
        <f t="shared" si="5"/>
        <v>770</v>
      </c>
      <c r="O77" s="5">
        <f>I77+N77</f>
        <v>1115</v>
      </c>
      <c r="P77" s="12">
        <f t="shared" si="8"/>
        <v>8.5001400000000046E-2</v>
      </c>
      <c r="Q77" s="94">
        <f t="shared" si="12"/>
        <v>0.14893956</v>
      </c>
      <c r="R77" s="23">
        <f t="shared" si="9"/>
        <v>726</v>
      </c>
      <c r="S77" s="25">
        <f t="shared" si="10"/>
        <v>1071</v>
      </c>
    </row>
    <row r="78" spans="1:19">
      <c r="A78" s="21" t="s">
        <v>565</v>
      </c>
      <c r="B78" s="171" t="s">
        <v>1396</v>
      </c>
      <c r="C78" s="172" t="s">
        <v>1397</v>
      </c>
      <c r="D78" s="33">
        <v>9</v>
      </c>
      <c r="E78" s="24">
        <v>3</v>
      </c>
      <c r="F78" s="5">
        <f t="shared" si="1"/>
        <v>6</v>
      </c>
      <c r="G78" s="173">
        <f t="shared" si="0"/>
        <v>4.8000000000000007</v>
      </c>
      <c r="H78" s="45">
        <v>0.8</v>
      </c>
      <c r="I78" s="170">
        <f t="shared" si="2"/>
        <v>222</v>
      </c>
      <c r="J78" s="12">
        <f t="shared" si="6"/>
        <v>58.3</v>
      </c>
      <c r="K78" s="12">
        <f t="shared" si="11"/>
        <v>2.2453200000000013E-2</v>
      </c>
      <c r="L78" s="12">
        <f t="shared" si="3"/>
        <v>46.6</v>
      </c>
      <c r="M78" s="94">
        <f t="shared" si="4"/>
        <v>3.1434479999999994E-2</v>
      </c>
      <c r="N78" s="24">
        <f t="shared" si="5"/>
        <v>450</v>
      </c>
      <c r="O78" s="5">
        <f t="shared" si="7"/>
        <v>672</v>
      </c>
      <c r="P78" s="12">
        <f t="shared" si="8"/>
        <v>5.0738400000000024E-2</v>
      </c>
      <c r="Q78" s="94">
        <f t="shared" si="12"/>
        <v>8.7363360000000001E-2</v>
      </c>
      <c r="R78" s="23">
        <f t="shared" si="9"/>
        <v>426</v>
      </c>
      <c r="S78" s="25">
        <f t="shared" si="10"/>
        <v>648</v>
      </c>
    </row>
    <row r="79" spans="1:19">
      <c r="A79" s="21" t="s">
        <v>565</v>
      </c>
      <c r="B79" s="171" t="s">
        <v>1398</v>
      </c>
      <c r="C79" s="172" t="s">
        <v>1399</v>
      </c>
      <c r="D79" s="33">
        <v>3</v>
      </c>
      <c r="E79" s="24">
        <f>0</f>
        <v>0</v>
      </c>
      <c r="F79" s="5">
        <f t="shared" si="1"/>
        <v>3</v>
      </c>
      <c r="G79" s="173">
        <f t="shared" si="0"/>
        <v>2.4000000000000004</v>
      </c>
      <c r="H79" s="45">
        <v>0.8</v>
      </c>
      <c r="I79" s="170">
        <f t="shared" si="2"/>
        <v>0</v>
      </c>
      <c r="J79" s="12">
        <f t="shared" si="6"/>
        <v>57.55</v>
      </c>
      <c r="K79" s="12">
        <f t="shared" si="11"/>
        <v>0</v>
      </c>
      <c r="L79" s="12">
        <f t="shared" si="3"/>
        <v>45.1</v>
      </c>
      <c r="M79" s="94">
        <f t="shared" si="4"/>
        <v>0</v>
      </c>
      <c r="N79" s="24">
        <f t="shared" si="5"/>
        <v>240</v>
      </c>
      <c r="O79" s="5">
        <f t="shared" si="7"/>
        <v>240</v>
      </c>
      <c r="P79" s="12">
        <f t="shared" si="8"/>
        <v>2.755620000000001E-2</v>
      </c>
      <c r="Q79" s="94">
        <f>($C$43-L79)*$C$32*$C$26*F79/$C$33</f>
        <v>4.6743480000000004E-2</v>
      </c>
      <c r="R79" s="23">
        <f t="shared" si="9"/>
        <v>228</v>
      </c>
      <c r="S79" s="25">
        <f t="shared" si="10"/>
        <v>228</v>
      </c>
    </row>
    <row r="80" spans="1:19" ht="15" thickBot="1">
      <c r="A80" s="22"/>
      <c r="B80" s="37" t="s">
        <v>1400</v>
      </c>
      <c r="C80" s="35"/>
      <c r="D80" s="176">
        <f>8760</f>
        <v>8760</v>
      </c>
      <c r="E80" s="177">
        <f>SUM(E57:E79)</f>
        <v>3380</v>
      </c>
      <c r="F80" s="178">
        <f>SUM(F57:F79)</f>
        <v>5380</v>
      </c>
      <c r="G80" s="178">
        <f>SUM(G57:G79)</f>
        <v>1262.242307692308</v>
      </c>
      <c r="H80" s="179"/>
      <c r="I80" s="180">
        <f>SUM(I57:I79)</f>
        <v>66540</v>
      </c>
      <c r="J80" s="181">
        <f>SUM(J57:J79)</f>
        <v>1010.7999999999996</v>
      </c>
      <c r="K80" s="187">
        <f>SUM(K57:K79)</f>
        <v>3.2933790000000052</v>
      </c>
      <c r="L80" s="182">
        <f t="shared" ref="L80" si="14">SUM(L57:L79)</f>
        <v>1041.3000000000002</v>
      </c>
      <c r="M80" s="186">
        <f t="shared" ref="M80" si="15">SUM(M57:M79)</f>
        <v>4.6107305999999992</v>
      </c>
      <c r="N80" s="183">
        <f>SUM(N57:N79)</f>
        <v>122890</v>
      </c>
      <c r="O80" s="181">
        <f>SUM(O57:O79)</f>
        <v>189430</v>
      </c>
      <c r="P80" s="187">
        <f t="shared" ref="P80" si="16">SUM(P57:P79)</f>
        <v>8.324596800000009</v>
      </c>
      <c r="Q80" s="186">
        <f t="shared" ref="Q80" si="17">SUM(Q57:Q79)</f>
        <v>21.60555768</v>
      </c>
      <c r="R80" s="184">
        <f t="shared" ref="R80:S80" si="18">SUM(R57:R79)</f>
        <v>104298</v>
      </c>
      <c r="S80" s="185">
        <f t="shared" si="18"/>
        <v>170838</v>
      </c>
    </row>
    <row r="81" spans="1:19">
      <c r="D81">
        <f>SUM(D62:D67)</f>
        <v>4089</v>
      </c>
    </row>
    <row r="82" spans="1:19">
      <c r="D82" s="2">
        <f>D81/D80</f>
        <v>0.46678082191780823</v>
      </c>
      <c r="Q82" s="1" t="s">
        <v>1401</v>
      </c>
      <c r="R82" s="2">
        <f>(O80-S80)/O80</f>
        <v>9.8147072797339391E-2</v>
      </c>
    </row>
    <row r="83" spans="1:19">
      <c r="Q83" s="1" t="s">
        <v>1402</v>
      </c>
      <c r="R83" s="4">
        <f>(M80+K80)/2</f>
        <v>3.9520548000000022</v>
      </c>
      <c r="S83" t="s">
        <v>1329</v>
      </c>
    </row>
    <row r="84" spans="1:19">
      <c r="Q84" s="1" t="s">
        <v>1403</v>
      </c>
      <c r="R84" s="4">
        <f>(Q80+P80)/2</f>
        <v>14.965077240000005</v>
      </c>
      <c r="S84" t="s">
        <v>1329</v>
      </c>
    </row>
    <row r="85" spans="1:19">
      <c r="A85" s="343"/>
      <c r="Q85" s="1" t="s">
        <v>1404</v>
      </c>
      <c r="R85" s="4">
        <f>R84+R83</f>
        <v>18.917132040000006</v>
      </c>
      <c r="S85" t="s">
        <v>1329</v>
      </c>
    </row>
    <row r="86" spans="1:19">
      <c r="A86" s="343"/>
      <c r="Q86" s="1" t="s">
        <v>1405</v>
      </c>
      <c r="R86" s="4">
        <f>C37-R85</f>
        <v>41.082867959999994</v>
      </c>
      <c r="S86" t="s">
        <v>1329</v>
      </c>
    </row>
    <row r="87" spans="1:19">
      <c r="Q87" s="1" t="s">
        <v>1406</v>
      </c>
      <c r="R87" s="4">
        <f>R86*(1-R82)</f>
        <v>37.050704727606394</v>
      </c>
      <c r="S87" t="s">
        <v>1329</v>
      </c>
    </row>
  </sheetData>
  <sheetProtection algorithmName="SHA-512" hashValue="w+Yu4/ufQXoXoE6BdMm95Xztlwfvenvda9PSDsPJMOuQ3ymolCTJZNqigDQ+KI7sXJ8sMKSm02FQC+acy7Y5Vw==" saltValue="HDb2OmGnXPpO9gkIP4423g==" spinCount="100000" sheet="1" objects="1" scenarios="1"/>
  <mergeCells count="12">
    <mergeCell ref="N55:Q55"/>
    <mergeCell ref="B55:D55"/>
    <mergeCell ref="E55:H55"/>
    <mergeCell ref="R55:S55"/>
    <mergeCell ref="I55:M55"/>
    <mergeCell ref="C2:M2"/>
    <mergeCell ref="C1:M1"/>
    <mergeCell ref="C7:M7"/>
    <mergeCell ref="C6:M6"/>
    <mergeCell ref="C5:M5"/>
    <mergeCell ref="C4:M4"/>
    <mergeCell ref="C3:M3"/>
  </mergeCells>
  <phoneticPr fontId="7" type="noConversion"/>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130CF-690B-4D1D-BAAF-7EFF0C30E238}">
  <sheetPr codeName="Sheet17">
    <tabColor theme="9" tint="-0.249977111117893"/>
  </sheetPr>
  <dimension ref="A1:S157"/>
  <sheetViews>
    <sheetView zoomScale="85" zoomScaleNormal="85" workbookViewId="0">
      <selection activeCell="K13" sqref="K13"/>
    </sheetView>
  </sheetViews>
  <sheetFormatPr defaultRowHeight="14.45"/>
  <cols>
    <col min="1" max="1" width="15" customWidth="1"/>
    <col min="2" max="2" width="39.140625" customWidth="1"/>
    <col min="3" max="3" width="11.7109375" customWidth="1"/>
    <col min="11" max="11" width="24" customWidth="1"/>
  </cols>
  <sheetData>
    <row r="1" spans="1:13">
      <c r="A1" s="3" t="s">
        <v>791</v>
      </c>
      <c r="B1" s="3" t="s">
        <v>854</v>
      </c>
      <c r="C1" s="1851" t="s">
        <v>1265</v>
      </c>
      <c r="D1" s="1851"/>
      <c r="E1" s="1851"/>
      <c r="F1" s="1851"/>
      <c r="G1" s="1851"/>
      <c r="H1" s="1851"/>
      <c r="I1" s="1851"/>
      <c r="J1" s="1851"/>
      <c r="K1" s="1851"/>
      <c r="L1" s="1851"/>
      <c r="M1" s="1851"/>
    </row>
    <row r="2" spans="1:13" ht="147.6" customHeight="1">
      <c r="A2" s="21" t="s">
        <v>1266</v>
      </c>
      <c r="B2" s="113" t="s">
        <v>489</v>
      </c>
      <c r="C2" s="1866" t="s">
        <v>1407</v>
      </c>
      <c r="D2" s="1866"/>
      <c r="E2" s="1866"/>
      <c r="F2" s="1866"/>
      <c r="G2" s="1866"/>
      <c r="H2" s="1866"/>
      <c r="I2" s="1866"/>
      <c r="J2" s="1866"/>
      <c r="K2" s="1866"/>
      <c r="L2" s="1866"/>
      <c r="M2" s="1867"/>
    </row>
    <row r="3" spans="1:13">
      <c r="A3" s="21" t="s">
        <v>1268</v>
      </c>
      <c r="B3" s="113" t="s">
        <v>421</v>
      </c>
      <c r="C3" s="250"/>
      <c r="D3" s="250"/>
      <c r="E3" s="250"/>
      <c r="F3" s="250"/>
      <c r="G3" s="250"/>
      <c r="H3" s="250"/>
      <c r="I3" s="250"/>
      <c r="J3" s="250"/>
      <c r="K3" s="250"/>
      <c r="L3" s="250"/>
      <c r="M3" s="251"/>
    </row>
    <row r="4" spans="1:13">
      <c r="A4" s="21" t="s">
        <v>1273</v>
      </c>
      <c r="B4" s="113" t="s">
        <v>421</v>
      </c>
      <c r="C4" s="113"/>
      <c r="D4" s="113"/>
      <c r="E4" s="113"/>
      <c r="F4" s="113"/>
      <c r="G4" s="113"/>
      <c r="H4" s="113"/>
      <c r="I4" s="113"/>
      <c r="J4" s="113"/>
      <c r="K4" s="113"/>
      <c r="L4" s="113"/>
      <c r="M4" s="23"/>
    </row>
    <row r="6" spans="1:13">
      <c r="A6" s="3" t="s">
        <v>1408</v>
      </c>
      <c r="F6" s="231"/>
      <c r="G6" s="231"/>
      <c r="H6" s="231"/>
      <c r="I6" s="231"/>
      <c r="J6" s="231"/>
      <c r="K6" s="232"/>
      <c r="L6" s="232"/>
      <c r="M6" s="232"/>
    </row>
    <row r="7" spans="1:13">
      <c r="A7" t="s">
        <v>1409</v>
      </c>
      <c r="B7" s="188" t="s">
        <v>1278</v>
      </c>
      <c r="C7" t="s">
        <v>1410</v>
      </c>
      <c r="F7" s="231"/>
      <c r="G7" s="231"/>
      <c r="H7" s="231"/>
      <c r="I7" s="231" t="s">
        <v>150</v>
      </c>
      <c r="J7" s="231" t="s">
        <v>150</v>
      </c>
      <c r="K7" s="232"/>
      <c r="L7" s="232"/>
      <c r="M7" s="232"/>
    </row>
    <row r="9" spans="1:13">
      <c r="A9" s="3" t="s">
        <v>1288</v>
      </c>
    </row>
    <row r="10" spans="1:13" ht="29.1">
      <c r="A10" s="254" t="s">
        <v>770</v>
      </c>
      <c r="B10" s="239" t="s">
        <v>1411</v>
      </c>
      <c r="C10" s="309">
        <f>Assumptions!D38</f>
        <v>1</v>
      </c>
      <c r="D10" s="255" t="s">
        <v>1075</v>
      </c>
      <c r="E10" s="248"/>
      <c r="F10" s="249"/>
    </row>
    <row r="11" spans="1:13">
      <c r="A11" s="256"/>
      <c r="B11" s="242" t="s">
        <v>1412</v>
      </c>
      <c r="C11" s="308">
        <f>Assumptions!D28</f>
        <v>95</v>
      </c>
      <c r="D11" s="257" t="s">
        <v>1062</v>
      </c>
      <c r="E11" s="248"/>
      <c r="F11" s="249"/>
    </row>
    <row r="12" spans="1:13" ht="29.1">
      <c r="A12" s="256"/>
      <c r="B12" s="242" t="s">
        <v>1088</v>
      </c>
      <c r="C12" s="308">
        <f>Assumptions!D49</f>
        <v>7</v>
      </c>
      <c r="D12" s="257" t="s">
        <v>1062</v>
      </c>
      <c r="E12" s="248"/>
      <c r="F12" s="249"/>
    </row>
    <row r="13" spans="1:13" ht="29.1">
      <c r="A13" s="256"/>
      <c r="B13" s="242" t="s">
        <v>1413</v>
      </c>
      <c r="C13" s="308">
        <f>Assumptions!D27</f>
        <v>0.6</v>
      </c>
      <c r="D13" s="257" t="s">
        <v>1057</v>
      </c>
      <c r="E13" s="248"/>
      <c r="F13" s="249"/>
    </row>
    <row r="14" spans="1:13" ht="43.5">
      <c r="A14" s="256"/>
      <c r="B14" s="242" t="s">
        <v>1414</v>
      </c>
      <c r="C14" s="310">
        <f>Assumptions!D29</f>
        <v>0.01</v>
      </c>
      <c r="D14" s="257"/>
      <c r="E14" s="248"/>
      <c r="F14" s="249"/>
      <c r="K14" s="242"/>
      <c r="L14" s="242"/>
    </row>
    <row r="15" spans="1:13">
      <c r="A15" s="256"/>
      <c r="B15" s="242" t="s">
        <v>1064</v>
      </c>
      <c r="C15" s="311">
        <f>Assumptions!D30</f>
        <v>1.2</v>
      </c>
      <c r="D15" s="257"/>
      <c r="E15" s="248"/>
      <c r="F15" s="249"/>
      <c r="K15" s="242"/>
      <c r="L15" s="242"/>
    </row>
    <row r="16" spans="1:13" ht="29.1">
      <c r="A16" s="256"/>
      <c r="B16" s="242" t="s">
        <v>1415</v>
      </c>
      <c r="C16" s="308">
        <f>Assumptions!D32</f>
        <v>70</v>
      </c>
      <c r="D16" s="257" t="s">
        <v>1062</v>
      </c>
      <c r="E16" s="248"/>
      <c r="F16" s="249"/>
    </row>
    <row r="17" spans="1:19" ht="43.5">
      <c r="A17" s="256"/>
      <c r="B17" s="242" t="s">
        <v>1416</v>
      </c>
      <c r="C17" s="312">
        <v>60</v>
      </c>
      <c r="D17" s="257" t="s">
        <v>1062</v>
      </c>
      <c r="E17" s="248"/>
      <c r="F17" s="249"/>
    </row>
    <row r="18" spans="1:19" ht="29.1">
      <c r="A18" s="256"/>
      <c r="B18" s="242" t="s">
        <v>1069</v>
      </c>
      <c r="C18" s="308">
        <f>Assumptions!D34</f>
        <v>450</v>
      </c>
      <c r="D18" s="257" t="s">
        <v>1070</v>
      </c>
      <c r="E18" s="248"/>
      <c r="F18" s="249"/>
    </row>
    <row r="19" spans="1:19" ht="29.1">
      <c r="A19" s="256"/>
      <c r="B19" s="242" t="s">
        <v>1417</v>
      </c>
      <c r="C19" s="312">
        <v>65</v>
      </c>
      <c r="D19" s="257" t="s">
        <v>1062</v>
      </c>
      <c r="E19" s="248" t="s">
        <v>1418</v>
      </c>
      <c r="F19" s="249"/>
    </row>
    <row r="20" spans="1:19">
      <c r="A20" s="256"/>
      <c r="B20" s="242" t="s">
        <v>1419</v>
      </c>
      <c r="C20" s="308">
        <f>Assumptions!D37</f>
        <v>38</v>
      </c>
      <c r="D20" s="257" t="s">
        <v>1062</v>
      </c>
      <c r="E20" s="248" t="s">
        <v>1420</v>
      </c>
      <c r="F20" s="249"/>
    </row>
    <row r="21" spans="1:19" ht="29.1">
      <c r="A21" s="258"/>
      <c r="B21" s="247" t="s">
        <v>1090</v>
      </c>
      <c r="C21" s="247">
        <v>85</v>
      </c>
      <c r="D21" s="259" t="s">
        <v>1062</v>
      </c>
      <c r="E21" s="248" t="s">
        <v>1421</v>
      </c>
      <c r="F21" s="249"/>
    </row>
    <row r="22" spans="1:19">
      <c r="A22" s="249"/>
      <c r="B22" s="249"/>
      <c r="C22" s="249"/>
      <c r="D22" s="249"/>
      <c r="E22" s="248"/>
      <c r="F22" s="249"/>
    </row>
    <row r="23" spans="1:19">
      <c r="A23" s="3" t="s">
        <v>898</v>
      </c>
    </row>
    <row r="24" spans="1:19">
      <c r="A24" s="6" t="s">
        <v>692</v>
      </c>
      <c r="B24" s="205">
        <f>$R$157/$C$18</f>
        <v>0.10222222222222223</v>
      </c>
      <c r="C24" t="s">
        <v>1326</v>
      </c>
    </row>
    <row r="28" spans="1:19">
      <c r="A28" s="207" t="s">
        <v>1422</v>
      </c>
    </row>
    <row r="29" spans="1:19">
      <c r="A29" s="208">
        <v>725095</v>
      </c>
    </row>
    <row r="30" spans="1:19">
      <c r="A30" s="207" t="s">
        <v>1423</v>
      </c>
    </row>
    <row r="31" spans="1:19">
      <c r="A31" s="209" t="s">
        <v>1424</v>
      </c>
    </row>
    <row r="32" spans="1:19">
      <c r="G32" s="1881" t="s">
        <v>1425</v>
      </c>
      <c r="H32" s="1882"/>
      <c r="I32" s="1882"/>
      <c r="J32" s="1882"/>
      <c r="K32" s="1882"/>
      <c r="L32" s="1882"/>
      <c r="M32" s="1882"/>
      <c r="N32" s="1882"/>
      <c r="O32" s="1882"/>
      <c r="P32" s="1882"/>
      <c r="Q32" s="1882"/>
      <c r="R32" s="1882"/>
      <c r="S32" s="1882"/>
    </row>
    <row r="33" spans="1:19" ht="72.599999999999994">
      <c r="A33" s="199" t="s">
        <v>1426</v>
      </c>
      <c r="B33" s="200" t="s">
        <v>1427</v>
      </c>
      <c r="C33" s="200" t="s">
        <v>1428</v>
      </c>
      <c r="D33" s="199" t="s">
        <v>1429</v>
      </c>
      <c r="E33" s="252" t="s">
        <v>1430</v>
      </c>
      <c r="F33" s="200" t="s">
        <v>1431</v>
      </c>
      <c r="G33" s="199" t="s">
        <v>1432</v>
      </c>
      <c r="H33" s="200" t="s">
        <v>1433</v>
      </c>
      <c r="I33" s="199" t="s">
        <v>1434</v>
      </c>
      <c r="J33" s="199" t="s">
        <v>1435</v>
      </c>
      <c r="K33" s="200" t="s">
        <v>1436</v>
      </c>
      <c r="L33" s="200" t="s">
        <v>1437</v>
      </c>
      <c r="M33" s="200" t="s">
        <v>1438</v>
      </c>
      <c r="N33" s="200" t="s">
        <v>1439</v>
      </c>
      <c r="O33" s="200" t="s">
        <v>1440</v>
      </c>
      <c r="P33" s="200" t="s">
        <v>1441</v>
      </c>
      <c r="Q33" s="200" t="s">
        <v>1442</v>
      </c>
      <c r="R33" s="200" t="s">
        <v>1443</v>
      </c>
      <c r="S33" s="200" t="s">
        <v>1444</v>
      </c>
    </row>
    <row r="34" spans="1:19">
      <c r="A34" s="211">
        <v>100</v>
      </c>
      <c r="B34" s="212">
        <v>76</v>
      </c>
      <c r="C34" s="213">
        <v>0</v>
      </c>
      <c r="D34" s="213">
        <v>0</v>
      </c>
      <c r="E34" s="213">
        <v>0</v>
      </c>
      <c r="F34" s="213">
        <v>0</v>
      </c>
      <c r="G34" s="221">
        <v>1</v>
      </c>
      <c r="H34" s="213">
        <v>0</v>
      </c>
      <c r="I34" s="223">
        <v>0</v>
      </c>
      <c r="J34" s="223">
        <v>1</v>
      </c>
      <c r="K34" s="221">
        <v>0</v>
      </c>
      <c r="L34" s="220">
        <f t="shared" ref="L34:L65" si="0">$C$21</f>
        <v>85</v>
      </c>
      <c r="M34" s="213">
        <v>83</v>
      </c>
      <c r="N34" s="225">
        <v>0.02</v>
      </c>
      <c r="O34" s="213">
        <v>1</v>
      </c>
      <c r="P34" s="213">
        <v>0</v>
      </c>
      <c r="Q34" s="220">
        <v>0</v>
      </c>
      <c r="R34" s="220">
        <v>0</v>
      </c>
      <c r="S34" s="220">
        <v>0</v>
      </c>
    </row>
    <row r="35" spans="1:19">
      <c r="A35" s="211">
        <v>99</v>
      </c>
      <c r="B35" s="212">
        <v>75</v>
      </c>
      <c r="C35" s="213">
        <v>0</v>
      </c>
      <c r="D35" s="213">
        <v>0</v>
      </c>
      <c r="E35" s="213">
        <v>0</v>
      </c>
      <c r="F35" s="213">
        <v>0</v>
      </c>
      <c r="G35" s="221">
        <v>1</v>
      </c>
      <c r="H35" s="213">
        <v>0</v>
      </c>
      <c r="I35" s="223">
        <v>0</v>
      </c>
      <c r="J35" s="223">
        <v>1</v>
      </c>
      <c r="K35" s="221">
        <v>0</v>
      </c>
      <c r="L35" s="220">
        <f t="shared" si="0"/>
        <v>85</v>
      </c>
      <c r="M35" s="213">
        <v>82</v>
      </c>
      <c r="N35" s="225">
        <v>0.03</v>
      </c>
      <c r="O35" s="213">
        <v>1</v>
      </c>
      <c r="P35" s="213">
        <v>0</v>
      </c>
      <c r="Q35" s="220">
        <v>0</v>
      </c>
      <c r="R35" s="220">
        <v>0</v>
      </c>
      <c r="S35" s="220">
        <v>0</v>
      </c>
    </row>
    <row r="36" spans="1:19">
      <c r="A36" s="211">
        <v>98</v>
      </c>
      <c r="B36" s="212">
        <v>75</v>
      </c>
      <c r="C36" s="213">
        <v>0</v>
      </c>
      <c r="D36" s="213">
        <v>0</v>
      </c>
      <c r="E36" s="213">
        <v>0</v>
      </c>
      <c r="F36" s="213">
        <v>0</v>
      </c>
      <c r="G36" s="221">
        <v>1</v>
      </c>
      <c r="H36" s="213">
        <v>0</v>
      </c>
      <c r="I36" s="223">
        <v>0</v>
      </c>
      <c r="J36" s="223">
        <v>1</v>
      </c>
      <c r="K36" s="221">
        <v>0</v>
      </c>
      <c r="L36" s="220">
        <f t="shared" si="0"/>
        <v>85</v>
      </c>
      <c r="M36" s="213">
        <v>82</v>
      </c>
      <c r="N36" s="225">
        <v>0.03</v>
      </c>
      <c r="O36" s="213">
        <v>1</v>
      </c>
      <c r="P36" s="213">
        <v>0</v>
      </c>
      <c r="Q36" s="220">
        <v>0</v>
      </c>
      <c r="R36" s="220">
        <v>0</v>
      </c>
      <c r="S36" s="220">
        <v>0</v>
      </c>
    </row>
    <row r="37" spans="1:19">
      <c r="A37" s="211">
        <v>97</v>
      </c>
      <c r="B37" s="212">
        <v>74</v>
      </c>
      <c r="C37" s="213">
        <v>0</v>
      </c>
      <c r="D37" s="213">
        <v>0</v>
      </c>
      <c r="E37" s="213">
        <v>0</v>
      </c>
      <c r="F37" s="213">
        <v>0</v>
      </c>
      <c r="G37" s="221">
        <v>1</v>
      </c>
      <c r="H37" s="213">
        <v>0</v>
      </c>
      <c r="I37" s="223">
        <v>0</v>
      </c>
      <c r="J37" s="223">
        <v>1</v>
      </c>
      <c r="K37" s="221">
        <v>0</v>
      </c>
      <c r="L37" s="220">
        <f t="shared" si="0"/>
        <v>85</v>
      </c>
      <c r="M37" s="213">
        <v>81</v>
      </c>
      <c r="N37" s="225">
        <v>0.04</v>
      </c>
      <c r="O37" s="213">
        <v>1</v>
      </c>
      <c r="P37" s="213">
        <v>0</v>
      </c>
      <c r="Q37" s="220">
        <v>0</v>
      </c>
      <c r="R37" s="220">
        <v>0</v>
      </c>
      <c r="S37" s="220">
        <v>0</v>
      </c>
    </row>
    <row r="38" spans="1:19">
      <c r="A38" s="211">
        <v>96</v>
      </c>
      <c r="B38" s="212">
        <v>73</v>
      </c>
      <c r="C38" s="213">
        <v>0</v>
      </c>
      <c r="D38" s="213">
        <v>0</v>
      </c>
      <c r="E38" s="213">
        <v>0</v>
      </c>
      <c r="F38" s="213">
        <v>0</v>
      </c>
      <c r="G38" s="221">
        <v>1</v>
      </c>
      <c r="H38" s="213">
        <v>0</v>
      </c>
      <c r="I38" s="223">
        <v>0</v>
      </c>
      <c r="J38" s="223">
        <v>1</v>
      </c>
      <c r="K38" s="221">
        <v>0</v>
      </c>
      <c r="L38" s="220">
        <f t="shared" si="0"/>
        <v>85</v>
      </c>
      <c r="M38" s="213">
        <v>80</v>
      </c>
      <c r="N38" s="225">
        <v>0.05</v>
      </c>
      <c r="O38" s="213">
        <v>1</v>
      </c>
      <c r="P38" s="213">
        <v>0</v>
      </c>
      <c r="Q38" s="220">
        <v>0</v>
      </c>
      <c r="R38" s="220">
        <v>0</v>
      </c>
      <c r="S38" s="220">
        <v>0</v>
      </c>
    </row>
    <row r="39" spans="1:19">
      <c r="A39" s="211">
        <v>95</v>
      </c>
      <c r="B39" s="212">
        <v>73</v>
      </c>
      <c r="C39" s="213">
        <v>0</v>
      </c>
      <c r="D39" s="213">
        <v>0</v>
      </c>
      <c r="E39" s="213">
        <v>0</v>
      </c>
      <c r="F39" s="213">
        <v>0</v>
      </c>
      <c r="G39" s="221">
        <v>1</v>
      </c>
      <c r="H39" s="213">
        <v>0</v>
      </c>
      <c r="I39" s="223">
        <v>0</v>
      </c>
      <c r="J39" s="223">
        <v>1</v>
      </c>
      <c r="K39" s="221">
        <v>0</v>
      </c>
      <c r="L39" s="220">
        <f t="shared" si="0"/>
        <v>85</v>
      </c>
      <c r="M39" s="213">
        <v>80</v>
      </c>
      <c r="N39" s="225">
        <v>0.05</v>
      </c>
      <c r="O39" s="213">
        <v>1</v>
      </c>
      <c r="P39" s="213">
        <v>0</v>
      </c>
      <c r="Q39" s="220">
        <v>0</v>
      </c>
      <c r="R39" s="220">
        <v>0</v>
      </c>
      <c r="S39" s="220">
        <v>0</v>
      </c>
    </row>
    <row r="40" spans="1:19">
      <c r="A40" s="211">
        <v>94</v>
      </c>
      <c r="B40" s="212">
        <v>74</v>
      </c>
      <c r="C40" s="213">
        <v>0</v>
      </c>
      <c r="D40" s="213">
        <v>0</v>
      </c>
      <c r="E40" s="213">
        <v>0</v>
      </c>
      <c r="F40" s="213">
        <v>0</v>
      </c>
      <c r="G40" s="221">
        <v>0.98</v>
      </c>
      <c r="H40" s="213">
        <v>0</v>
      </c>
      <c r="I40" s="223">
        <v>0</v>
      </c>
      <c r="J40" s="223">
        <v>1</v>
      </c>
      <c r="K40" s="221">
        <v>0</v>
      </c>
      <c r="L40" s="220">
        <f t="shared" si="0"/>
        <v>85</v>
      </c>
      <c r="M40" s="213">
        <v>81</v>
      </c>
      <c r="N40" s="225">
        <v>0.04</v>
      </c>
      <c r="O40" s="213">
        <v>0</v>
      </c>
      <c r="P40" s="213">
        <v>0</v>
      </c>
      <c r="Q40" s="220">
        <v>0</v>
      </c>
      <c r="R40" s="220">
        <v>0</v>
      </c>
      <c r="S40" s="220">
        <v>0</v>
      </c>
    </row>
    <row r="41" spans="1:19">
      <c r="A41" s="211">
        <v>93</v>
      </c>
      <c r="B41" s="212">
        <v>73</v>
      </c>
      <c r="C41" s="213">
        <v>0</v>
      </c>
      <c r="D41" s="213">
        <v>0</v>
      </c>
      <c r="E41" s="213">
        <v>0</v>
      </c>
      <c r="F41" s="213">
        <v>0</v>
      </c>
      <c r="G41" s="221">
        <v>0.96</v>
      </c>
      <c r="H41" s="213">
        <v>0</v>
      </c>
      <c r="I41" s="223">
        <v>0</v>
      </c>
      <c r="J41" s="223">
        <v>1</v>
      </c>
      <c r="K41" s="221">
        <v>0</v>
      </c>
      <c r="L41" s="220">
        <f t="shared" si="0"/>
        <v>85</v>
      </c>
      <c r="M41" s="213">
        <v>80</v>
      </c>
      <c r="N41" s="225">
        <v>0.05</v>
      </c>
      <c r="O41" s="213">
        <v>0</v>
      </c>
      <c r="P41" s="213">
        <v>0</v>
      </c>
      <c r="Q41" s="220">
        <v>0</v>
      </c>
      <c r="R41" s="220">
        <v>0</v>
      </c>
      <c r="S41" s="220">
        <v>0</v>
      </c>
    </row>
    <row r="42" spans="1:19">
      <c r="A42" s="211">
        <v>92</v>
      </c>
      <c r="B42" s="212">
        <v>71</v>
      </c>
      <c r="C42" s="213">
        <v>0</v>
      </c>
      <c r="D42" s="213">
        <v>0</v>
      </c>
      <c r="E42" s="213">
        <v>0</v>
      </c>
      <c r="F42" s="213">
        <v>0</v>
      </c>
      <c r="G42" s="221">
        <v>0.95</v>
      </c>
      <c r="H42" s="213">
        <v>0</v>
      </c>
      <c r="I42" s="223">
        <v>0</v>
      </c>
      <c r="J42" s="223">
        <v>1</v>
      </c>
      <c r="K42" s="221">
        <v>0</v>
      </c>
      <c r="L42" s="220">
        <f t="shared" si="0"/>
        <v>85</v>
      </c>
      <c r="M42" s="213">
        <v>78</v>
      </c>
      <c r="N42" s="225">
        <v>7.0000000000000007E-2</v>
      </c>
      <c r="O42" s="213">
        <v>0</v>
      </c>
      <c r="P42" s="213">
        <v>0</v>
      </c>
      <c r="Q42" s="220">
        <v>0</v>
      </c>
      <c r="R42" s="220">
        <v>0</v>
      </c>
      <c r="S42" s="220">
        <v>0</v>
      </c>
    </row>
    <row r="43" spans="1:19">
      <c r="A43" s="211">
        <v>91</v>
      </c>
      <c r="B43" s="212">
        <v>72</v>
      </c>
      <c r="C43" s="213">
        <v>0</v>
      </c>
      <c r="D43" s="213">
        <v>0</v>
      </c>
      <c r="E43" s="213">
        <v>0</v>
      </c>
      <c r="F43" s="213">
        <v>0</v>
      </c>
      <c r="G43" s="221">
        <v>0.93</v>
      </c>
      <c r="H43" s="213">
        <v>0</v>
      </c>
      <c r="I43" s="223">
        <v>0</v>
      </c>
      <c r="J43" s="223">
        <v>1</v>
      </c>
      <c r="K43" s="221">
        <v>0</v>
      </c>
      <c r="L43" s="220">
        <f t="shared" si="0"/>
        <v>85</v>
      </c>
      <c r="M43" s="213">
        <v>79</v>
      </c>
      <c r="N43" s="225">
        <v>0.06</v>
      </c>
      <c r="O43" s="213">
        <v>0</v>
      </c>
      <c r="P43" s="213">
        <v>0</v>
      </c>
      <c r="Q43" s="220">
        <v>0</v>
      </c>
      <c r="R43" s="220">
        <v>0</v>
      </c>
      <c r="S43" s="220">
        <v>0</v>
      </c>
    </row>
    <row r="44" spans="1:19">
      <c r="A44" s="211">
        <v>90</v>
      </c>
      <c r="B44" s="212">
        <v>70</v>
      </c>
      <c r="C44" s="213">
        <v>0</v>
      </c>
      <c r="D44" s="213">
        <v>0</v>
      </c>
      <c r="E44" s="213">
        <v>0</v>
      </c>
      <c r="F44" s="213">
        <v>0</v>
      </c>
      <c r="G44" s="221">
        <v>0.91</v>
      </c>
      <c r="H44" s="213">
        <v>0</v>
      </c>
      <c r="I44" s="223">
        <v>0</v>
      </c>
      <c r="J44" s="223">
        <v>1</v>
      </c>
      <c r="K44" s="221">
        <v>0.05</v>
      </c>
      <c r="L44" s="220">
        <f t="shared" si="0"/>
        <v>85</v>
      </c>
      <c r="M44" s="213">
        <v>77</v>
      </c>
      <c r="N44" s="225">
        <v>0.08</v>
      </c>
      <c r="O44" s="213">
        <v>0</v>
      </c>
      <c r="P44" s="213">
        <v>0</v>
      </c>
      <c r="Q44" s="220">
        <v>0</v>
      </c>
      <c r="R44" s="220">
        <v>0</v>
      </c>
      <c r="S44" s="220">
        <v>0</v>
      </c>
    </row>
    <row r="45" spans="1:19">
      <c r="A45" s="211">
        <v>89</v>
      </c>
      <c r="B45" s="212">
        <v>71</v>
      </c>
      <c r="C45" s="213">
        <v>6</v>
      </c>
      <c r="D45" s="213">
        <v>5</v>
      </c>
      <c r="E45" s="213">
        <v>0</v>
      </c>
      <c r="F45" s="213">
        <v>3</v>
      </c>
      <c r="G45" s="221">
        <v>0.89</v>
      </c>
      <c r="H45" s="213">
        <v>2</v>
      </c>
      <c r="I45" s="223">
        <v>2</v>
      </c>
      <c r="J45" s="223">
        <v>1</v>
      </c>
      <c r="K45" s="221">
        <v>0</v>
      </c>
      <c r="L45" s="220">
        <f t="shared" si="0"/>
        <v>85</v>
      </c>
      <c r="M45" s="213">
        <v>78</v>
      </c>
      <c r="N45" s="225">
        <v>7.0000000000000007E-2</v>
      </c>
      <c r="O45" s="213">
        <v>0</v>
      </c>
      <c r="P45" s="213">
        <v>0</v>
      </c>
      <c r="Q45" s="220">
        <v>0</v>
      </c>
      <c r="R45" s="220">
        <v>0</v>
      </c>
      <c r="S45" s="220">
        <v>0</v>
      </c>
    </row>
    <row r="46" spans="1:19">
      <c r="A46" s="211">
        <v>88</v>
      </c>
      <c r="B46" s="212">
        <v>71</v>
      </c>
      <c r="C46" s="213">
        <v>0</v>
      </c>
      <c r="D46" s="213">
        <v>0</v>
      </c>
      <c r="E46" s="213">
        <v>0</v>
      </c>
      <c r="F46" s="213">
        <v>0</v>
      </c>
      <c r="G46" s="221">
        <v>0.88</v>
      </c>
      <c r="H46" s="213">
        <v>0</v>
      </c>
      <c r="I46" s="223">
        <v>0</v>
      </c>
      <c r="J46" s="223">
        <v>1</v>
      </c>
      <c r="K46" s="221">
        <v>0</v>
      </c>
      <c r="L46" s="220">
        <f t="shared" si="0"/>
        <v>85</v>
      </c>
      <c r="M46" s="213">
        <v>78</v>
      </c>
      <c r="N46" s="225">
        <v>7.0000000000000007E-2</v>
      </c>
      <c r="O46" s="213">
        <v>0</v>
      </c>
      <c r="P46" s="213">
        <v>0</v>
      </c>
      <c r="Q46" s="220">
        <v>0</v>
      </c>
      <c r="R46" s="220">
        <v>0</v>
      </c>
      <c r="S46" s="220">
        <v>0</v>
      </c>
    </row>
    <row r="47" spans="1:19">
      <c r="A47" s="211">
        <v>87</v>
      </c>
      <c r="B47" s="212">
        <v>68</v>
      </c>
      <c r="C47" s="213">
        <v>9</v>
      </c>
      <c r="D47" s="213">
        <v>8</v>
      </c>
      <c r="E47" s="213">
        <v>0</v>
      </c>
      <c r="F47" s="213">
        <v>5</v>
      </c>
      <c r="G47" s="221">
        <v>0.86</v>
      </c>
      <c r="H47" s="213">
        <v>3</v>
      </c>
      <c r="I47" s="223">
        <v>3</v>
      </c>
      <c r="J47" s="223">
        <v>1</v>
      </c>
      <c r="K47" s="221">
        <v>0.2</v>
      </c>
      <c r="L47" s="220">
        <f t="shared" si="0"/>
        <v>85</v>
      </c>
      <c r="M47" s="213">
        <v>75</v>
      </c>
      <c r="N47" s="225">
        <v>0.1</v>
      </c>
      <c r="O47" s="213">
        <v>0</v>
      </c>
      <c r="P47" s="213">
        <v>0</v>
      </c>
      <c r="Q47" s="220">
        <v>0</v>
      </c>
      <c r="R47" s="220">
        <v>0</v>
      </c>
      <c r="S47" s="220">
        <v>0</v>
      </c>
    </row>
    <row r="48" spans="1:19">
      <c r="A48" s="211">
        <v>86</v>
      </c>
      <c r="B48" s="212">
        <v>70</v>
      </c>
      <c r="C48" s="213">
        <v>10</v>
      </c>
      <c r="D48" s="213">
        <v>0</v>
      </c>
      <c r="E48" s="213">
        <v>0</v>
      </c>
      <c r="F48" s="213">
        <v>6</v>
      </c>
      <c r="G48" s="221">
        <v>0.84</v>
      </c>
      <c r="H48" s="213">
        <v>3</v>
      </c>
      <c r="I48" s="223">
        <v>0</v>
      </c>
      <c r="J48" s="223">
        <v>1</v>
      </c>
      <c r="K48" s="221">
        <v>0</v>
      </c>
      <c r="L48" s="220">
        <f t="shared" si="0"/>
        <v>85</v>
      </c>
      <c r="M48" s="213">
        <v>77</v>
      </c>
      <c r="N48" s="225">
        <v>0.08</v>
      </c>
      <c r="O48" s="213">
        <v>0</v>
      </c>
      <c r="P48" s="213">
        <v>0</v>
      </c>
      <c r="Q48" s="220">
        <v>0</v>
      </c>
      <c r="R48" s="220">
        <v>0</v>
      </c>
      <c r="S48" s="220">
        <v>0</v>
      </c>
    </row>
    <row r="49" spans="1:19">
      <c r="A49" s="211">
        <v>85</v>
      </c>
      <c r="B49" s="212">
        <v>69</v>
      </c>
      <c r="C49" s="213">
        <v>0</v>
      </c>
      <c r="D49" s="213">
        <v>8</v>
      </c>
      <c r="E49" s="213">
        <v>0</v>
      </c>
      <c r="F49" s="213">
        <v>0</v>
      </c>
      <c r="G49" s="221">
        <v>0.82</v>
      </c>
      <c r="H49" s="213">
        <v>0</v>
      </c>
      <c r="I49" s="223">
        <v>0</v>
      </c>
      <c r="J49" s="223">
        <v>1</v>
      </c>
      <c r="K49" s="221">
        <v>0.12</v>
      </c>
      <c r="L49" s="220">
        <f t="shared" si="0"/>
        <v>85</v>
      </c>
      <c r="M49" s="213">
        <v>76</v>
      </c>
      <c r="N49" s="225">
        <v>0.09</v>
      </c>
      <c r="O49" s="213">
        <v>0</v>
      </c>
      <c r="P49" s="213">
        <v>0</v>
      </c>
      <c r="Q49" s="220">
        <v>0</v>
      </c>
      <c r="R49" s="220">
        <v>0</v>
      </c>
      <c r="S49" s="220">
        <v>0</v>
      </c>
    </row>
    <row r="50" spans="1:19">
      <c r="A50" s="211">
        <v>84</v>
      </c>
      <c r="B50" s="212">
        <v>69</v>
      </c>
      <c r="C50" s="213">
        <v>29</v>
      </c>
      <c r="D50" s="213">
        <v>25</v>
      </c>
      <c r="E50" s="213">
        <v>0</v>
      </c>
      <c r="F50" s="213">
        <v>7</v>
      </c>
      <c r="G50" s="221">
        <v>0.81</v>
      </c>
      <c r="H50" s="213">
        <v>9</v>
      </c>
      <c r="I50" s="223">
        <v>8</v>
      </c>
      <c r="J50" s="223">
        <v>1</v>
      </c>
      <c r="K50" s="221">
        <v>0.13</v>
      </c>
      <c r="L50" s="220">
        <f t="shared" si="0"/>
        <v>85</v>
      </c>
      <c r="M50" s="213">
        <v>76</v>
      </c>
      <c r="N50" s="225">
        <v>0.09</v>
      </c>
      <c r="O50" s="213">
        <v>0</v>
      </c>
      <c r="P50" s="213">
        <v>0</v>
      </c>
      <c r="Q50" s="220">
        <v>0</v>
      </c>
      <c r="R50" s="220">
        <v>1</v>
      </c>
      <c r="S50" s="220">
        <v>0</v>
      </c>
    </row>
    <row r="51" spans="1:19">
      <c r="A51" s="211">
        <v>83</v>
      </c>
      <c r="B51" s="212">
        <v>69</v>
      </c>
      <c r="C51" s="213">
        <v>0</v>
      </c>
      <c r="D51" s="213">
        <v>0</v>
      </c>
      <c r="E51" s="213">
        <v>0</v>
      </c>
      <c r="F51" s="213">
        <v>0</v>
      </c>
      <c r="G51" s="221">
        <v>0.79</v>
      </c>
      <c r="H51" s="213">
        <v>0</v>
      </c>
      <c r="I51" s="223">
        <v>0</v>
      </c>
      <c r="J51" s="223">
        <v>1</v>
      </c>
      <c r="K51" s="221">
        <v>0.14000000000000001</v>
      </c>
      <c r="L51" s="220">
        <f t="shared" si="0"/>
        <v>85</v>
      </c>
      <c r="M51" s="213">
        <v>76</v>
      </c>
      <c r="N51" s="225">
        <v>0.09</v>
      </c>
      <c r="O51" s="213">
        <v>0</v>
      </c>
      <c r="P51" s="213">
        <v>0</v>
      </c>
      <c r="Q51" s="220">
        <v>0</v>
      </c>
      <c r="R51" s="220">
        <v>0</v>
      </c>
      <c r="S51" s="220">
        <v>0</v>
      </c>
    </row>
    <row r="52" spans="1:19">
      <c r="A52" s="211">
        <v>82</v>
      </c>
      <c r="B52" s="212">
        <v>69</v>
      </c>
      <c r="C52" s="213">
        <v>49</v>
      </c>
      <c r="D52" s="213">
        <v>32</v>
      </c>
      <c r="E52" s="213">
        <v>0</v>
      </c>
      <c r="F52" s="213">
        <v>23</v>
      </c>
      <c r="G52" s="221">
        <v>0.77</v>
      </c>
      <c r="H52" s="213">
        <v>15</v>
      </c>
      <c r="I52" s="223">
        <v>10</v>
      </c>
      <c r="J52" s="223">
        <v>1</v>
      </c>
      <c r="K52" s="221">
        <v>0.1</v>
      </c>
      <c r="L52" s="220">
        <f t="shared" si="0"/>
        <v>85</v>
      </c>
      <c r="M52" s="213">
        <v>76</v>
      </c>
      <c r="N52" s="225">
        <v>0.09</v>
      </c>
      <c r="O52" s="213">
        <v>0</v>
      </c>
      <c r="P52" s="213">
        <v>0</v>
      </c>
      <c r="Q52" s="220">
        <v>0</v>
      </c>
      <c r="R52" s="220">
        <v>1</v>
      </c>
      <c r="S52" s="220">
        <v>1</v>
      </c>
    </row>
    <row r="53" spans="1:19">
      <c r="A53" s="211">
        <v>81</v>
      </c>
      <c r="B53" s="212">
        <v>68</v>
      </c>
      <c r="C53" s="213">
        <v>0</v>
      </c>
      <c r="D53" s="213">
        <v>0</v>
      </c>
      <c r="E53" s="213">
        <v>0</v>
      </c>
      <c r="F53" s="213">
        <v>0</v>
      </c>
      <c r="G53" s="221">
        <v>0.75</v>
      </c>
      <c r="H53" s="213">
        <v>0</v>
      </c>
      <c r="I53" s="223">
        <v>0</v>
      </c>
      <c r="J53" s="223">
        <v>1</v>
      </c>
      <c r="K53" s="221">
        <v>0.18</v>
      </c>
      <c r="L53" s="220">
        <f t="shared" si="0"/>
        <v>85</v>
      </c>
      <c r="M53" s="213">
        <v>75</v>
      </c>
      <c r="N53" s="225">
        <v>0.1</v>
      </c>
      <c r="O53" s="213">
        <v>0</v>
      </c>
      <c r="P53" s="213">
        <v>0</v>
      </c>
      <c r="Q53" s="220">
        <v>0</v>
      </c>
      <c r="R53" s="220">
        <v>0</v>
      </c>
      <c r="S53" s="220">
        <v>0</v>
      </c>
    </row>
    <row r="54" spans="1:19">
      <c r="A54" s="211">
        <v>80</v>
      </c>
      <c r="B54" s="212">
        <v>69</v>
      </c>
      <c r="C54" s="213">
        <v>47</v>
      </c>
      <c r="D54" s="213">
        <v>28</v>
      </c>
      <c r="E54" s="213">
        <v>0</v>
      </c>
      <c r="F54" s="213">
        <v>20</v>
      </c>
      <c r="G54" s="221">
        <v>0.74</v>
      </c>
      <c r="H54" s="213">
        <v>13</v>
      </c>
      <c r="I54" s="223">
        <v>8</v>
      </c>
      <c r="J54" s="223">
        <v>1</v>
      </c>
      <c r="K54" s="221">
        <v>0.1</v>
      </c>
      <c r="L54" s="220">
        <f t="shared" si="0"/>
        <v>85</v>
      </c>
      <c r="M54" s="213">
        <v>76</v>
      </c>
      <c r="N54" s="225">
        <v>0.09</v>
      </c>
      <c r="O54" s="213">
        <v>0</v>
      </c>
      <c r="P54" s="213">
        <v>0</v>
      </c>
      <c r="Q54" s="220">
        <v>0</v>
      </c>
      <c r="R54" s="220">
        <v>1</v>
      </c>
      <c r="S54" s="220">
        <v>0</v>
      </c>
    </row>
    <row r="55" spans="1:19">
      <c r="A55" s="211">
        <v>79</v>
      </c>
      <c r="B55" s="212">
        <v>68</v>
      </c>
      <c r="C55" s="213">
        <v>0</v>
      </c>
      <c r="D55" s="213">
        <v>0</v>
      </c>
      <c r="E55" s="213">
        <v>0</v>
      </c>
      <c r="F55" s="213">
        <v>0</v>
      </c>
      <c r="G55" s="221">
        <v>0.72</v>
      </c>
      <c r="H55" s="213">
        <v>0</v>
      </c>
      <c r="I55" s="223">
        <v>0</v>
      </c>
      <c r="J55" s="223">
        <v>1</v>
      </c>
      <c r="K55" s="221">
        <v>0.22</v>
      </c>
      <c r="L55" s="220">
        <f t="shared" si="0"/>
        <v>85</v>
      </c>
      <c r="M55" s="213">
        <v>75</v>
      </c>
      <c r="N55" s="225">
        <v>0.1</v>
      </c>
      <c r="O55" s="213">
        <v>0</v>
      </c>
      <c r="P55" s="213">
        <v>0</v>
      </c>
      <c r="Q55" s="220">
        <v>0</v>
      </c>
      <c r="R55" s="220">
        <v>0</v>
      </c>
      <c r="S55" s="220">
        <v>0</v>
      </c>
    </row>
    <row r="56" spans="1:19">
      <c r="A56" s="211">
        <v>78</v>
      </c>
      <c r="B56" s="212">
        <v>67</v>
      </c>
      <c r="C56" s="213">
        <v>84</v>
      </c>
      <c r="D56" s="213">
        <v>52</v>
      </c>
      <c r="E56" s="213">
        <v>0</v>
      </c>
      <c r="F56" s="213">
        <v>31</v>
      </c>
      <c r="G56" s="221">
        <v>0.7</v>
      </c>
      <c r="H56" s="213">
        <v>23</v>
      </c>
      <c r="I56" s="223">
        <v>14</v>
      </c>
      <c r="J56" s="223">
        <v>1</v>
      </c>
      <c r="K56" s="221">
        <v>0.34</v>
      </c>
      <c r="L56" s="220">
        <f t="shared" si="0"/>
        <v>85</v>
      </c>
      <c r="M56" s="213">
        <v>74</v>
      </c>
      <c r="N56" s="225">
        <v>0.11</v>
      </c>
      <c r="O56" s="213">
        <v>0</v>
      </c>
      <c r="P56" s="213">
        <v>0</v>
      </c>
      <c r="Q56" s="220">
        <v>0</v>
      </c>
      <c r="R56" s="220">
        <v>2</v>
      </c>
      <c r="S56" s="220">
        <v>1</v>
      </c>
    </row>
    <row r="57" spans="1:19">
      <c r="A57" s="211">
        <v>77</v>
      </c>
      <c r="B57" s="212">
        <v>67</v>
      </c>
      <c r="C57" s="213">
        <v>86</v>
      </c>
      <c r="D57" s="213">
        <v>2</v>
      </c>
      <c r="E57" s="213">
        <v>0</v>
      </c>
      <c r="F57" s="213">
        <v>33</v>
      </c>
      <c r="G57" s="221">
        <v>0.68</v>
      </c>
      <c r="H57" s="213">
        <v>23</v>
      </c>
      <c r="I57" s="223">
        <v>1</v>
      </c>
      <c r="J57" s="223">
        <v>1</v>
      </c>
      <c r="K57" s="221">
        <v>0.34</v>
      </c>
      <c r="L57" s="220">
        <f t="shared" si="0"/>
        <v>85</v>
      </c>
      <c r="M57" s="213">
        <v>74</v>
      </c>
      <c r="N57" s="225">
        <v>0.11</v>
      </c>
      <c r="O57" s="213">
        <v>0</v>
      </c>
      <c r="P57" s="213">
        <v>0</v>
      </c>
      <c r="Q57" s="220">
        <v>0</v>
      </c>
      <c r="R57" s="220">
        <v>1</v>
      </c>
      <c r="S57" s="220">
        <v>0</v>
      </c>
    </row>
    <row r="58" spans="1:19">
      <c r="A58" s="211">
        <v>76</v>
      </c>
      <c r="B58" s="212">
        <v>66</v>
      </c>
      <c r="C58" s="213">
        <v>0</v>
      </c>
      <c r="D58" s="213">
        <v>62</v>
      </c>
      <c r="E58" s="213">
        <v>0</v>
      </c>
      <c r="F58" s="213">
        <v>0</v>
      </c>
      <c r="G58" s="221">
        <v>0.67</v>
      </c>
      <c r="H58" s="213">
        <v>0</v>
      </c>
      <c r="I58" s="223">
        <v>0</v>
      </c>
      <c r="J58" s="223">
        <v>1</v>
      </c>
      <c r="K58" s="221">
        <v>0.36</v>
      </c>
      <c r="L58" s="220">
        <f t="shared" si="0"/>
        <v>85</v>
      </c>
      <c r="M58" s="213">
        <v>73</v>
      </c>
      <c r="N58" s="225">
        <v>0.12</v>
      </c>
      <c r="O58" s="213">
        <v>0</v>
      </c>
      <c r="P58" s="213">
        <v>0</v>
      </c>
      <c r="Q58" s="220">
        <v>0</v>
      </c>
      <c r="R58" s="220">
        <v>0</v>
      </c>
      <c r="S58" s="220">
        <v>0</v>
      </c>
    </row>
    <row r="59" spans="1:19">
      <c r="A59" s="211">
        <v>75</v>
      </c>
      <c r="B59" s="212">
        <v>66</v>
      </c>
      <c r="C59" s="213">
        <v>166</v>
      </c>
      <c r="D59" s="213">
        <v>125</v>
      </c>
      <c r="E59" s="213">
        <v>0</v>
      </c>
      <c r="F59" s="213">
        <v>50</v>
      </c>
      <c r="G59" s="221">
        <v>0.65</v>
      </c>
      <c r="H59" s="213">
        <v>42</v>
      </c>
      <c r="I59" s="223">
        <v>31</v>
      </c>
      <c r="J59" s="223">
        <v>1</v>
      </c>
      <c r="K59" s="221">
        <v>0.38</v>
      </c>
      <c r="L59" s="220">
        <f t="shared" si="0"/>
        <v>85</v>
      </c>
      <c r="M59" s="213">
        <v>73</v>
      </c>
      <c r="N59" s="225">
        <v>0.12</v>
      </c>
      <c r="O59" s="213">
        <v>0</v>
      </c>
      <c r="P59" s="213">
        <v>0</v>
      </c>
      <c r="Q59" s="220">
        <v>0</v>
      </c>
      <c r="R59" s="220">
        <v>3</v>
      </c>
      <c r="S59" s="220">
        <v>2</v>
      </c>
    </row>
    <row r="60" spans="1:19">
      <c r="A60" s="211">
        <v>74</v>
      </c>
      <c r="B60" s="212">
        <v>66</v>
      </c>
      <c r="C60" s="213">
        <v>1</v>
      </c>
      <c r="D60" s="213">
        <v>0</v>
      </c>
      <c r="E60" s="213">
        <v>0</v>
      </c>
      <c r="F60" s="213">
        <v>0</v>
      </c>
      <c r="G60" s="221">
        <v>0.63</v>
      </c>
      <c r="H60" s="213">
        <v>0</v>
      </c>
      <c r="I60" s="223">
        <v>0</v>
      </c>
      <c r="J60" s="223">
        <v>1</v>
      </c>
      <c r="K60" s="221">
        <v>0.4</v>
      </c>
      <c r="L60" s="220">
        <f t="shared" si="0"/>
        <v>85</v>
      </c>
      <c r="M60" s="213">
        <v>73</v>
      </c>
      <c r="N60" s="225">
        <v>0.12</v>
      </c>
      <c r="O60" s="213">
        <v>0</v>
      </c>
      <c r="P60" s="213">
        <v>0</v>
      </c>
      <c r="Q60" s="220">
        <v>0</v>
      </c>
      <c r="R60" s="220">
        <v>0</v>
      </c>
      <c r="S60" s="220">
        <v>0</v>
      </c>
    </row>
    <row r="61" spans="1:19">
      <c r="A61" s="211">
        <v>73</v>
      </c>
      <c r="B61" s="212">
        <v>65</v>
      </c>
      <c r="C61" s="213">
        <v>197</v>
      </c>
      <c r="D61" s="213">
        <v>131</v>
      </c>
      <c r="E61" s="213">
        <v>0</v>
      </c>
      <c r="F61" s="213">
        <v>43</v>
      </c>
      <c r="G61" s="221">
        <v>0.61</v>
      </c>
      <c r="H61" s="213">
        <v>47</v>
      </c>
      <c r="I61" s="223">
        <v>31</v>
      </c>
      <c r="J61" s="223">
        <v>1</v>
      </c>
      <c r="K61" s="221">
        <v>0.46</v>
      </c>
      <c r="L61" s="220">
        <f t="shared" si="0"/>
        <v>85</v>
      </c>
      <c r="M61" s="213">
        <v>72</v>
      </c>
      <c r="N61" s="225">
        <v>0.13</v>
      </c>
      <c r="O61" s="213">
        <v>0</v>
      </c>
      <c r="P61" s="213">
        <v>0</v>
      </c>
      <c r="Q61" s="220">
        <v>0</v>
      </c>
      <c r="R61" s="220">
        <v>3</v>
      </c>
      <c r="S61" s="220">
        <v>2</v>
      </c>
    </row>
    <row r="62" spans="1:19">
      <c r="A62" s="211">
        <v>72</v>
      </c>
      <c r="B62" s="212">
        <v>64</v>
      </c>
      <c r="C62" s="213">
        <v>4</v>
      </c>
      <c r="D62" s="213">
        <v>2</v>
      </c>
      <c r="E62" s="213">
        <v>0</v>
      </c>
      <c r="F62" s="213">
        <v>0</v>
      </c>
      <c r="G62" s="221">
        <v>0.6</v>
      </c>
      <c r="H62" s="213">
        <v>1</v>
      </c>
      <c r="I62" s="223">
        <v>0</v>
      </c>
      <c r="J62" s="223">
        <v>0</v>
      </c>
      <c r="K62" s="221">
        <v>0.55000000000000004</v>
      </c>
      <c r="L62" s="220">
        <f t="shared" si="0"/>
        <v>85</v>
      </c>
      <c r="M62" s="213">
        <v>71</v>
      </c>
      <c r="N62" s="225">
        <v>0.14000000000000001</v>
      </c>
      <c r="O62" s="213">
        <v>0</v>
      </c>
      <c r="P62" s="213">
        <v>0</v>
      </c>
      <c r="Q62" s="220">
        <v>0</v>
      </c>
      <c r="R62" s="220">
        <v>0</v>
      </c>
      <c r="S62" s="220">
        <v>0</v>
      </c>
    </row>
    <row r="63" spans="1:19">
      <c r="A63" s="211">
        <v>71</v>
      </c>
      <c r="B63" s="212">
        <v>65</v>
      </c>
      <c r="C63" s="213">
        <v>216</v>
      </c>
      <c r="D63" s="213">
        <v>135</v>
      </c>
      <c r="E63" s="213">
        <v>0</v>
      </c>
      <c r="F63" s="213">
        <v>24</v>
      </c>
      <c r="G63" s="221">
        <v>0.57999999999999996</v>
      </c>
      <c r="H63" s="213">
        <v>48</v>
      </c>
      <c r="I63" s="223">
        <v>30</v>
      </c>
      <c r="J63" s="223">
        <v>0</v>
      </c>
      <c r="K63" s="221">
        <v>0.54</v>
      </c>
      <c r="L63" s="220">
        <f t="shared" si="0"/>
        <v>85</v>
      </c>
      <c r="M63" s="213">
        <v>72</v>
      </c>
      <c r="N63" s="225">
        <v>0.13</v>
      </c>
      <c r="O63" s="213">
        <v>0</v>
      </c>
      <c r="P63" s="213">
        <v>0</v>
      </c>
      <c r="Q63" s="220">
        <v>0</v>
      </c>
      <c r="R63" s="220">
        <v>3</v>
      </c>
      <c r="S63" s="220">
        <v>2</v>
      </c>
    </row>
    <row r="64" spans="1:19">
      <c r="A64" s="211">
        <v>70</v>
      </c>
      <c r="B64" s="212">
        <v>62</v>
      </c>
      <c r="C64" s="213">
        <v>5</v>
      </c>
      <c r="D64" s="213">
        <v>4</v>
      </c>
      <c r="E64" s="213">
        <v>0</v>
      </c>
      <c r="F64" s="213">
        <v>0</v>
      </c>
      <c r="G64" s="221">
        <v>0.56000000000000005</v>
      </c>
      <c r="H64" s="213">
        <v>1</v>
      </c>
      <c r="I64" s="223">
        <v>1</v>
      </c>
      <c r="J64" s="223">
        <v>0</v>
      </c>
      <c r="K64" s="221">
        <v>0.76</v>
      </c>
      <c r="L64" s="220">
        <f t="shared" si="0"/>
        <v>85</v>
      </c>
      <c r="M64" s="213">
        <v>69</v>
      </c>
      <c r="N64" s="225">
        <v>0.16</v>
      </c>
      <c r="O64" s="213">
        <v>0</v>
      </c>
      <c r="P64" s="213">
        <v>0</v>
      </c>
      <c r="Q64" s="220">
        <v>0</v>
      </c>
      <c r="R64" s="220">
        <v>0</v>
      </c>
      <c r="S64" s="220">
        <v>0</v>
      </c>
    </row>
    <row r="65" spans="1:19">
      <c r="A65" s="211">
        <v>69</v>
      </c>
      <c r="B65" s="212">
        <v>62</v>
      </c>
      <c r="C65" s="213">
        <v>255</v>
      </c>
      <c r="D65" s="213">
        <v>152</v>
      </c>
      <c r="E65" s="213">
        <v>0</v>
      </c>
      <c r="F65" s="213">
        <v>35</v>
      </c>
      <c r="G65" s="221">
        <v>0.54</v>
      </c>
      <c r="H65" s="213">
        <v>54</v>
      </c>
      <c r="I65" s="223">
        <v>32</v>
      </c>
      <c r="J65" s="223">
        <v>0</v>
      </c>
      <c r="K65" s="221">
        <v>0.84</v>
      </c>
      <c r="L65" s="220">
        <f t="shared" si="0"/>
        <v>85</v>
      </c>
      <c r="M65" s="213">
        <v>69</v>
      </c>
      <c r="N65" s="225">
        <v>0.16</v>
      </c>
      <c r="O65" s="213">
        <v>0</v>
      </c>
      <c r="P65" s="213">
        <v>0</v>
      </c>
      <c r="Q65" s="220">
        <v>0</v>
      </c>
      <c r="R65" s="220">
        <v>4</v>
      </c>
      <c r="S65" s="220">
        <v>2</v>
      </c>
    </row>
    <row r="66" spans="1:19">
      <c r="A66" s="211">
        <v>68</v>
      </c>
      <c r="B66" s="212">
        <v>61</v>
      </c>
      <c r="C66" s="213">
        <v>153</v>
      </c>
      <c r="D66" s="213">
        <v>3</v>
      </c>
      <c r="E66" s="213">
        <v>0</v>
      </c>
      <c r="F66" s="213">
        <v>22</v>
      </c>
      <c r="G66" s="221">
        <v>0.53</v>
      </c>
      <c r="H66" s="213">
        <v>31</v>
      </c>
      <c r="I66" s="223">
        <v>1</v>
      </c>
      <c r="J66" s="223">
        <v>0</v>
      </c>
      <c r="K66" s="221">
        <v>0.91</v>
      </c>
      <c r="L66" s="220">
        <f t="shared" ref="L66:L97" si="1">$C$21</f>
        <v>85</v>
      </c>
      <c r="M66" s="213">
        <v>68</v>
      </c>
      <c r="N66" s="225">
        <v>0.17</v>
      </c>
      <c r="O66" s="213">
        <v>0</v>
      </c>
      <c r="P66" s="213">
        <v>0</v>
      </c>
      <c r="Q66" s="220">
        <v>0</v>
      </c>
      <c r="R66" s="220">
        <v>2</v>
      </c>
      <c r="S66" s="220">
        <v>0</v>
      </c>
    </row>
    <row r="67" spans="1:19">
      <c r="A67" s="211">
        <v>67</v>
      </c>
      <c r="B67" s="212">
        <v>61</v>
      </c>
      <c r="C67" s="213">
        <v>8</v>
      </c>
      <c r="D67" s="213">
        <v>79</v>
      </c>
      <c r="E67" s="213">
        <v>0</v>
      </c>
      <c r="F67" s="213">
        <v>0</v>
      </c>
      <c r="G67" s="221">
        <v>0.51</v>
      </c>
      <c r="H67" s="213">
        <v>2</v>
      </c>
      <c r="I67" s="223">
        <v>16</v>
      </c>
      <c r="J67" s="223">
        <v>0</v>
      </c>
      <c r="K67" s="221">
        <v>0.92</v>
      </c>
      <c r="L67" s="220">
        <f t="shared" si="1"/>
        <v>85</v>
      </c>
      <c r="M67" s="213">
        <v>68</v>
      </c>
      <c r="N67" s="225">
        <v>0.17</v>
      </c>
      <c r="O67" s="213">
        <v>0</v>
      </c>
      <c r="P67" s="213">
        <v>0</v>
      </c>
      <c r="Q67" s="220">
        <v>0</v>
      </c>
      <c r="R67" s="220">
        <v>0</v>
      </c>
      <c r="S67" s="220">
        <v>1</v>
      </c>
    </row>
    <row r="68" spans="1:19">
      <c r="A68" s="211">
        <v>66</v>
      </c>
      <c r="B68" s="212">
        <v>60</v>
      </c>
      <c r="C68" s="213">
        <v>293</v>
      </c>
      <c r="D68" s="213">
        <v>160</v>
      </c>
      <c r="E68" s="213">
        <v>0</v>
      </c>
      <c r="F68" s="213">
        <v>24</v>
      </c>
      <c r="G68" s="221">
        <v>0.49</v>
      </c>
      <c r="H68" s="213">
        <v>56</v>
      </c>
      <c r="I68" s="223">
        <v>30</v>
      </c>
      <c r="J68" s="223">
        <v>0</v>
      </c>
      <c r="K68" s="221">
        <v>1</v>
      </c>
      <c r="L68" s="220">
        <f t="shared" si="1"/>
        <v>85</v>
      </c>
      <c r="M68" s="213">
        <v>67</v>
      </c>
      <c r="N68" s="225">
        <v>0.18</v>
      </c>
      <c r="O68" s="213">
        <v>0</v>
      </c>
      <c r="P68" s="213">
        <v>0</v>
      </c>
      <c r="Q68" s="220">
        <v>0</v>
      </c>
      <c r="R68" s="220">
        <v>4</v>
      </c>
      <c r="S68" s="220">
        <v>2</v>
      </c>
    </row>
    <row r="69" spans="1:19">
      <c r="A69" s="211">
        <v>65</v>
      </c>
      <c r="B69" s="212">
        <v>59</v>
      </c>
      <c r="C69" s="213">
        <v>9</v>
      </c>
      <c r="D69" s="213">
        <v>8</v>
      </c>
      <c r="E69" s="213">
        <v>0</v>
      </c>
      <c r="F69" s="213">
        <v>0</v>
      </c>
      <c r="G69" s="221">
        <v>0.47</v>
      </c>
      <c r="H69" s="213">
        <v>2</v>
      </c>
      <c r="I69" s="223">
        <v>1</v>
      </c>
      <c r="J69" s="223">
        <v>0</v>
      </c>
      <c r="K69" s="221">
        <v>1</v>
      </c>
      <c r="L69" s="220">
        <f t="shared" si="1"/>
        <v>85</v>
      </c>
      <c r="M69" s="213">
        <v>66</v>
      </c>
      <c r="N69" s="225">
        <v>0.19</v>
      </c>
      <c r="O69" s="213">
        <v>0</v>
      </c>
      <c r="P69" s="213">
        <v>0</v>
      </c>
      <c r="Q69" s="220">
        <v>0</v>
      </c>
      <c r="R69" s="220">
        <v>0</v>
      </c>
      <c r="S69" s="220">
        <v>0</v>
      </c>
    </row>
    <row r="70" spans="1:19">
      <c r="A70" s="211">
        <v>64</v>
      </c>
      <c r="B70" s="212">
        <v>58</v>
      </c>
      <c r="C70" s="213">
        <v>312</v>
      </c>
      <c r="D70" s="213">
        <v>148</v>
      </c>
      <c r="E70" s="213">
        <v>0</v>
      </c>
      <c r="F70" s="213">
        <v>15</v>
      </c>
      <c r="G70" s="221">
        <v>0.46</v>
      </c>
      <c r="H70" s="213">
        <v>55</v>
      </c>
      <c r="I70" s="223">
        <v>26</v>
      </c>
      <c r="J70" s="223">
        <v>0</v>
      </c>
      <c r="K70" s="221">
        <v>1</v>
      </c>
      <c r="L70" s="220">
        <f t="shared" si="1"/>
        <v>85</v>
      </c>
      <c r="M70" s="213">
        <v>65</v>
      </c>
      <c r="N70" s="225">
        <v>0.2</v>
      </c>
      <c r="O70" s="213">
        <v>0</v>
      </c>
      <c r="P70" s="213">
        <v>0</v>
      </c>
      <c r="Q70" s="220">
        <v>0</v>
      </c>
      <c r="R70" s="220">
        <v>4</v>
      </c>
      <c r="S70" s="220">
        <v>2</v>
      </c>
    </row>
    <row r="71" spans="1:19">
      <c r="A71" s="211">
        <v>63</v>
      </c>
      <c r="B71" s="212">
        <v>58</v>
      </c>
      <c r="C71" s="213">
        <v>18</v>
      </c>
      <c r="D71" s="213">
        <v>12</v>
      </c>
      <c r="E71" s="213">
        <v>0</v>
      </c>
      <c r="F71" s="213">
        <v>0</v>
      </c>
      <c r="G71" s="221">
        <v>0.44</v>
      </c>
      <c r="H71" s="213">
        <v>3</v>
      </c>
      <c r="I71" s="223">
        <v>2</v>
      </c>
      <c r="J71" s="223">
        <v>0</v>
      </c>
      <c r="K71" s="221">
        <v>1</v>
      </c>
      <c r="L71" s="220">
        <f t="shared" si="1"/>
        <v>85</v>
      </c>
      <c r="M71" s="213">
        <v>65</v>
      </c>
      <c r="N71" s="225">
        <v>0.2</v>
      </c>
      <c r="O71" s="213">
        <v>0</v>
      </c>
      <c r="P71" s="213">
        <v>0</v>
      </c>
      <c r="Q71" s="220">
        <v>0</v>
      </c>
      <c r="R71" s="220">
        <v>0</v>
      </c>
      <c r="S71" s="220">
        <v>0</v>
      </c>
    </row>
    <row r="72" spans="1:19">
      <c r="A72" s="211">
        <v>62</v>
      </c>
      <c r="B72" s="212">
        <v>57</v>
      </c>
      <c r="C72" s="213">
        <v>344</v>
      </c>
      <c r="D72" s="213">
        <v>142</v>
      </c>
      <c r="E72" s="213">
        <v>0</v>
      </c>
      <c r="F72" s="213">
        <v>9</v>
      </c>
      <c r="G72" s="221">
        <v>0.42</v>
      </c>
      <c r="H72" s="213">
        <v>56</v>
      </c>
      <c r="I72" s="223">
        <v>23</v>
      </c>
      <c r="J72" s="223">
        <v>0</v>
      </c>
      <c r="K72" s="221">
        <v>1</v>
      </c>
      <c r="L72" s="220">
        <f t="shared" si="1"/>
        <v>85</v>
      </c>
      <c r="M72" s="213">
        <v>65</v>
      </c>
      <c r="N72" s="225">
        <v>0.2</v>
      </c>
      <c r="O72" s="213">
        <v>0</v>
      </c>
      <c r="P72" s="213">
        <v>0</v>
      </c>
      <c r="Q72" s="220">
        <v>0</v>
      </c>
      <c r="R72" s="220">
        <v>4</v>
      </c>
      <c r="S72" s="220">
        <v>2</v>
      </c>
    </row>
    <row r="73" spans="1:19">
      <c r="A73" s="211">
        <v>61</v>
      </c>
      <c r="B73" s="212">
        <v>56</v>
      </c>
      <c r="C73" s="213">
        <v>23</v>
      </c>
      <c r="D73" s="213">
        <v>11</v>
      </c>
      <c r="E73" s="213">
        <v>0</v>
      </c>
      <c r="F73" s="213">
        <v>0</v>
      </c>
      <c r="G73" s="221">
        <v>0.4</v>
      </c>
      <c r="H73" s="213">
        <v>4</v>
      </c>
      <c r="I73" s="223">
        <v>2</v>
      </c>
      <c r="J73" s="223">
        <v>0</v>
      </c>
      <c r="K73" s="221">
        <v>1</v>
      </c>
      <c r="L73" s="220">
        <f t="shared" si="1"/>
        <v>85</v>
      </c>
      <c r="M73" s="213">
        <v>65</v>
      </c>
      <c r="N73" s="225">
        <v>0.2</v>
      </c>
      <c r="O73" s="213">
        <v>0</v>
      </c>
      <c r="P73" s="213">
        <v>0</v>
      </c>
      <c r="Q73" s="220">
        <v>0</v>
      </c>
      <c r="R73" s="220">
        <v>0</v>
      </c>
      <c r="S73" s="220">
        <v>0</v>
      </c>
    </row>
    <row r="74" spans="1:19">
      <c r="A74" s="211">
        <v>60</v>
      </c>
      <c r="B74" s="212">
        <v>55</v>
      </c>
      <c r="C74" s="213">
        <v>353</v>
      </c>
      <c r="D74" s="213">
        <v>138</v>
      </c>
      <c r="E74" s="213">
        <v>0</v>
      </c>
      <c r="F74" s="213">
        <v>6</v>
      </c>
      <c r="G74" s="221">
        <v>0.39</v>
      </c>
      <c r="H74" s="213">
        <v>53</v>
      </c>
      <c r="I74" s="223">
        <v>21</v>
      </c>
      <c r="J74" s="223">
        <v>0</v>
      </c>
      <c r="K74" s="221">
        <v>1</v>
      </c>
      <c r="L74" s="220">
        <f t="shared" si="1"/>
        <v>85</v>
      </c>
      <c r="M74" s="213">
        <v>65</v>
      </c>
      <c r="N74" s="225">
        <v>0.2</v>
      </c>
      <c r="O74" s="213">
        <v>0</v>
      </c>
      <c r="P74" s="213">
        <v>0</v>
      </c>
      <c r="Q74" s="220">
        <v>0</v>
      </c>
      <c r="R74" s="220">
        <v>3</v>
      </c>
      <c r="S74" s="220">
        <v>1</v>
      </c>
    </row>
    <row r="75" spans="1:19">
      <c r="A75" s="211">
        <v>59</v>
      </c>
      <c r="B75" s="212">
        <v>54</v>
      </c>
      <c r="C75" s="213">
        <v>158</v>
      </c>
      <c r="D75" s="213">
        <v>4</v>
      </c>
      <c r="E75" s="213">
        <v>0</v>
      </c>
      <c r="F75" s="213">
        <v>3</v>
      </c>
      <c r="G75" s="221">
        <v>0.37</v>
      </c>
      <c r="H75" s="213">
        <v>23</v>
      </c>
      <c r="I75" s="223">
        <v>1</v>
      </c>
      <c r="J75" s="223">
        <v>0</v>
      </c>
      <c r="K75" s="221">
        <v>1</v>
      </c>
      <c r="L75" s="220">
        <f t="shared" si="1"/>
        <v>85</v>
      </c>
      <c r="M75" s="213">
        <v>65</v>
      </c>
      <c r="N75" s="225">
        <v>0.2</v>
      </c>
      <c r="O75" s="213">
        <v>0</v>
      </c>
      <c r="P75" s="213">
        <v>0</v>
      </c>
      <c r="Q75" s="220">
        <v>0</v>
      </c>
      <c r="R75" s="220">
        <v>1</v>
      </c>
      <c r="S75" s="220">
        <v>0</v>
      </c>
    </row>
    <row r="76" spans="1:19">
      <c r="A76" s="211">
        <v>58</v>
      </c>
      <c r="B76" s="212">
        <v>52</v>
      </c>
      <c r="C76" s="213">
        <v>21</v>
      </c>
      <c r="D76" s="213">
        <v>65</v>
      </c>
      <c r="E76" s="213">
        <v>0</v>
      </c>
      <c r="F76" s="213">
        <v>0</v>
      </c>
      <c r="G76" s="221">
        <v>0.35</v>
      </c>
      <c r="H76" s="213">
        <v>3</v>
      </c>
      <c r="I76" s="223">
        <v>9</v>
      </c>
      <c r="J76" s="223">
        <v>0</v>
      </c>
      <c r="K76" s="221">
        <v>1</v>
      </c>
      <c r="L76" s="220">
        <f t="shared" si="1"/>
        <v>85</v>
      </c>
      <c r="M76" s="213">
        <v>65</v>
      </c>
      <c r="N76" s="225">
        <v>0.2</v>
      </c>
      <c r="O76" s="213">
        <v>0</v>
      </c>
      <c r="P76" s="213">
        <v>0</v>
      </c>
      <c r="Q76" s="220">
        <v>0</v>
      </c>
      <c r="R76" s="220">
        <v>0</v>
      </c>
      <c r="S76" s="220">
        <v>1</v>
      </c>
    </row>
    <row r="77" spans="1:19">
      <c r="A77" s="211">
        <v>57</v>
      </c>
      <c r="B77" s="212">
        <v>51</v>
      </c>
      <c r="C77" s="213">
        <v>310</v>
      </c>
      <c r="D77" s="213">
        <v>103</v>
      </c>
      <c r="E77" s="213">
        <v>0</v>
      </c>
      <c r="F77" s="213">
        <v>1</v>
      </c>
      <c r="G77" s="221">
        <v>0.33</v>
      </c>
      <c r="H77" s="213">
        <v>40</v>
      </c>
      <c r="I77" s="223">
        <v>13</v>
      </c>
      <c r="J77" s="223">
        <v>0</v>
      </c>
      <c r="K77" s="221">
        <v>1</v>
      </c>
      <c r="L77" s="220">
        <f t="shared" si="1"/>
        <v>85</v>
      </c>
      <c r="M77" s="213">
        <v>65</v>
      </c>
      <c r="N77" s="225">
        <v>0.2</v>
      </c>
      <c r="O77" s="213">
        <v>0</v>
      </c>
      <c r="P77" s="213">
        <v>0</v>
      </c>
      <c r="Q77" s="220">
        <v>0</v>
      </c>
      <c r="R77" s="220">
        <v>2</v>
      </c>
      <c r="S77" s="220">
        <v>1</v>
      </c>
    </row>
    <row r="78" spans="1:19">
      <c r="A78" s="211">
        <v>56</v>
      </c>
      <c r="B78" s="212">
        <v>51</v>
      </c>
      <c r="C78" s="213">
        <v>25</v>
      </c>
      <c r="D78" s="213">
        <v>11</v>
      </c>
      <c r="E78" s="213">
        <v>0</v>
      </c>
      <c r="F78" s="213">
        <v>0</v>
      </c>
      <c r="G78" s="221">
        <v>0.32</v>
      </c>
      <c r="H78" s="213">
        <v>3</v>
      </c>
      <c r="I78" s="223">
        <v>1</v>
      </c>
      <c r="J78" s="223">
        <v>0</v>
      </c>
      <c r="K78" s="221">
        <v>1</v>
      </c>
      <c r="L78" s="220">
        <f t="shared" si="1"/>
        <v>85</v>
      </c>
      <c r="M78" s="213">
        <v>65</v>
      </c>
      <c r="N78" s="225">
        <v>0.2</v>
      </c>
      <c r="O78" s="213">
        <v>0</v>
      </c>
      <c r="P78" s="213">
        <v>0</v>
      </c>
      <c r="Q78" s="220">
        <v>0</v>
      </c>
      <c r="R78" s="220">
        <v>0</v>
      </c>
      <c r="S78" s="220">
        <v>0</v>
      </c>
    </row>
    <row r="79" spans="1:19">
      <c r="A79" s="211">
        <v>55</v>
      </c>
      <c r="B79" s="212">
        <v>51</v>
      </c>
      <c r="C79" s="213">
        <v>279</v>
      </c>
      <c r="D79" s="213">
        <v>92</v>
      </c>
      <c r="E79" s="213">
        <v>2</v>
      </c>
      <c r="F79" s="213">
        <v>3</v>
      </c>
      <c r="G79" s="221">
        <v>0.3</v>
      </c>
      <c r="H79" s="213">
        <v>32</v>
      </c>
      <c r="I79" s="223">
        <v>11</v>
      </c>
      <c r="J79" s="223">
        <v>0</v>
      </c>
      <c r="K79" s="221">
        <v>1</v>
      </c>
      <c r="L79" s="220">
        <f t="shared" si="1"/>
        <v>85</v>
      </c>
      <c r="M79" s="213">
        <v>65</v>
      </c>
      <c r="N79" s="225">
        <v>0.2</v>
      </c>
      <c r="O79" s="213">
        <v>0</v>
      </c>
      <c r="P79" s="213">
        <v>0</v>
      </c>
      <c r="Q79" s="220">
        <v>0</v>
      </c>
      <c r="R79" s="220">
        <v>2</v>
      </c>
      <c r="S79" s="220">
        <v>1</v>
      </c>
    </row>
    <row r="80" spans="1:19">
      <c r="A80" s="211">
        <v>54</v>
      </c>
      <c r="B80" s="212">
        <v>49</v>
      </c>
      <c r="C80" s="213">
        <v>14</v>
      </c>
      <c r="D80" s="213">
        <v>6</v>
      </c>
      <c r="E80" s="213">
        <v>0</v>
      </c>
      <c r="F80" s="213">
        <v>0</v>
      </c>
      <c r="G80" s="221">
        <v>0.28000000000000003</v>
      </c>
      <c r="H80" s="213">
        <v>2</v>
      </c>
      <c r="I80" s="223">
        <v>1</v>
      </c>
      <c r="J80" s="223">
        <v>0</v>
      </c>
      <c r="K80" s="221">
        <v>1</v>
      </c>
      <c r="L80" s="220">
        <f t="shared" si="1"/>
        <v>85</v>
      </c>
      <c r="M80" s="213">
        <v>65</v>
      </c>
      <c r="N80" s="225">
        <v>0.2</v>
      </c>
      <c r="O80" s="213">
        <v>0</v>
      </c>
      <c r="P80" s="213">
        <v>0</v>
      </c>
      <c r="Q80" s="220">
        <v>0</v>
      </c>
      <c r="R80" s="220">
        <v>0</v>
      </c>
      <c r="S80" s="220">
        <v>0</v>
      </c>
    </row>
    <row r="81" spans="1:19">
      <c r="A81" s="211">
        <v>53</v>
      </c>
      <c r="B81" s="212">
        <v>48</v>
      </c>
      <c r="C81" s="213">
        <v>247</v>
      </c>
      <c r="D81" s="213">
        <v>116</v>
      </c>
      <c r="E81" s="213">
        <v>0</v>
      </c>
      <c r="F81" s="213">
        <v>1</v>
      </c>
      <c r="G81" s="221">
        <v>0.26</v>
      </c>
      <c r="H81" s="213">
        <v>25</v>
      </c>
      <c r="I81" s="223">
        <v>12</v>
      </c>
      <c r="J81" s="223">
        <v>0</v>
      </c>
      <c r="K81" s="221">
        <v>1</v>
      </c>
      <c r="L81" s="220">
        <f t="shared" si="1"/>
        <v>85</v>
      </c>
      <c r="M81" s="213">
        <v>65</v>
      </c>
      <c r="N81" s="225">
        <v>0.2</v>
      </c>
      <c r="O81" s="213">
        <v>0</v>
      </c>
      <c r="P81" s="213">
        <v>0</v>
      </c>
      <c r="Q81" s="220">
        <v>0</v>
      </c>
      <c r="R81" s="220">
        <v>1</v>
      </c>
      <c r="S81" s="220">
        <v>1</v>
      </c>
    </row>
    <row r="82" spans="1:19">
      <c r="A82" s="211">
        <v>52</v>
      </c>
      <c r="B82" s="212">
        <v>47</v>
      </c>
      <c r="C82" s="213">
        <v>11</v>
      </c>
      <c r="D82" s="213">
        <v>3</v>
      </c>
      <c r="E82" s="213">
        <v>0</v>
      </c>
      <c r="F82" s="213">
        <v>0</v>
      </c>
      <c r="G82" s="221">
        <v>0.25</v>
      </c>
      <c r="H82" s="213">
        <v>1</v>
      </c>
      <c r="I82" s="223">
        <v>0</v>
      </c>
      <c r="J82" s="223">
        <v>0</v>
      </c>
      <c r="K82" s="221">
        <v>1</v>
      </c>
      <c r="L82" s="220">
        <f t="shared" si="1"/>
        <v>85</v>
      </c>
      <c r="M82" s="213">
        <v>65</v>
      </c>
      <c r="N82" s="225">
        <v>0.2</v>
      </c>
      <c r="O82" s="213">
        <v>0</v>
      </c>
      <c r="P82" s="213">
        <v>0</v>
      </c>
      <c r="Q82" s="220">
        <v>0</v>
      </c>
      <c r="R82" s="220">
        <v>0</v>
      </c>
      <c r="S82" s="220">
        <v>0</v>
      </c>
    </row>
    <row r="83" spans="1:19">
      <c r="A83" s="211">
        <v>51</v>
      </c>
      <c r="B83" s="212">
        <v>46</v>
      </c>
      <c r="C83" s="213">
        <v>257</v>
      </c>
      <c r="D83" s="213">
        <v>103</v>
      </c>
      <c r="E83" s="213">
        <v>1</v>
      </c>
      <c r="F83" s="213">
        <v>4</v>
      </c>
      <c r="G83" s="221">
        <v>0.23</v>
      </c>
      <c r="H83" s="213">
        <v>23</v>
      </c>
      <c r="I83" s="223">
        <v>9</v>
      </c>
      <c r="J83" s="223">
        <v>0</v>
      </c>
      <c r="K83" s="221">
        <v>1</v>
      </c>
      <c r="L83" s="220">
        <f t="shared" si="1"/>
        <v>85</v>
      </c>
      <c r="M83" s="213">
        <v>65</v>
      </c>
      <c r="N83" s="225">
        <v>0.2</v>
      </c>
      <c r="O83" s="213">
        <v>0</v>
      </c>
      <c r="P83" s="213">
        <v>0</v>
      </c>
      <c r="Q83" s="220">
        <v>0</v>
      </c>
      <c r="R83" s="220">
        <v>1</v>
      </c>
      <c r="S83" s="220">
        <v>0</v>
      </c>
    </row>
    <row r="84" spans="1:19">
      <c r="A84" s="211">
        <v>50</v>
      </c>
      <c r="B84" s="212">
        <v>46</v>
      </c>
      <c r="C84" s="213">
        <v>117</v>
      </c>
      <c r="D84" s="213">
        <v>2</v>
      </c>
      <c r="E84" s="213">
        <v>1</v>
      </c>
      <c r="F84" s="213">
        <v>0</v>
      </c>
      <c r="G84" s="221">
        <v>0.21</v>
      </c>
      <c r="H84" s="213">
        <v>10</v>
      </c>
      <c r="I84" s="223">
        <v>0</v>
      </c>
      <c r="J84" s="223">
        <v>0</v>
      </c>
      <c r="K84" s="221">
        <v>1</v>
      </c>
      <c r="L84" s="220">
        <f t="shared" si="1"/>
        <v>85</v>
      </c>
      <c r="M84" s="213">
        <v>65</v>
      </c>
      <c r="N84" s="225">
        <v>0.2</v>
      </c>
      <c r="O84" s="213">
        <v>0</v>
      </c>
      <c r="P84" s="213">
        <v>0</v>
      </c>
      <c r="Q84" s="220">
        <v>0</v>
      </c>
      <c r="R84" s="220">
        <v>0</v>
      </c>
      <c r="S84" s="220">
        <v>0</v>
      </c>
    </row>
    <row r="85" spans="1:19">
      <c r="A85" s="211">
        <v>49</v>
      </c>
      <c r="B85" s="212">
        <v>44</v>
      </c>
      <c r="C85" s="213">
        <v>17</v>
      </c>
      <c r="D85" s="213">
        <v>38</v>
      </c>
      <c r="E85" s="213">
        <v>0</v>
      </c>
      <c r="F85" s="213">
        <v>0</v>
      </c>
      <c r="G85" s="221">
        <v>0.19</v>
      </c>
      <c r="H85" s="213">
        <v>1</v>
      </c>
      <c r="I85" s="223">
        <v>3</v>
      </c>
      <c r="J85" s="223">
        <v>0</v>
      </c>
      <c r="K85" s="221">
        <v>1</v>
      </c>
      <c r="L85" s="220">
        <f t="shared" si="1"/>
        <v>85</v>
      </c>
      <c r="M85" s="213">
        <v>65</v>
      </c>
      <c r="N85" s="225">
        <v>0.2</v>
      </c>
      <c r="O85" s="213">
        <v>0</v>
      </c>
      <c r="P85" s="213">
        <v>0</v>
      </c>
      <c r="Q85" s="220">
        <v>0</v>
      </c>
      <c r="R85" s="220">
        <v>0</v>
      </c>
      <c r="S85" s="220">
        <v>0</v>
      </c>
    </row>
    <row r="86" spans="1:19">
      <c r="A86" s="211">
        <v>48</v>
      </c>
      <c r="B86" s="212">
        <v>43</v>
      </c>
      <c r="C86" s="213">
        <v>212</v>
      </c>
      <c r="D86" s="213">
        <v>84</v>
      </c>
      <c r="E86" s="213">
        <v>0</v>
      </c>
      <c r="F86" s="213">
        <v>0</v>
      </c>
      <c r="G86" s="221">
        <v>0.18</v>
      </c>
      <c r="H86" s="213">
        <v>14</v>
      </c>
      <c r="I86" s="223">
        <v>6</v>
      </c>
      <c r="J86" s="223">
        <v>0</v>
      </c>
      <c r="K86" s="221">
        <v>1</v>
      </c>
      <c r="L86" s="220">
        <f t="shared" si="1"/>
        <v>85</v>
      </c>
      <c r="M86" s="213">
        <v>65</v>
      </c>
      <c r="N86" s="225">
        <v>0.2</v>
      </c>
      <c r="O86" s="213">
        <v>0</v>
      </c>
      <c r="P86" s="213">
        <v>0</v>
      </c>
      <c r="Q86" s="220">
        <v>0</v>
      </c>
      <c r="R86" s="220">
        <v>0</v>
      </c>
      <c r="S86" s="220">
        <v>0</v>
      </c>
    </row>
    <row r="87" spans="1:19">
      <c r="A87" s="211">
        <v>47</v>
      </c>
      <c r="B87" s="212">
        <v>42</v>
      </c>
      <c r="C87" s="213">
        <v>12</v>
      </c>
      <c r="D87" s="213">
        <v>1</v>
      </c>
      <c r="E87" s="213">
        <v>1</v>
      </c>
      <c r="F87" s="213">
        <v>0</v>
      </c>
      <c r="G87" s="221">
        <v>0.16</v>
      </c>
      <c r="H87" s="213">
        <v>1</v>
      </c>
      <c r="I87" s="223">
        <v>0</v>
      </c>
      <c r="J87" s="223">
        <v>0</v>
      </c>
      <c r="K87" s="221">
        <v>1</v>
      </c>
      <c r="L87" s="220">
        <f t="shared" si="1"/>
        <v>85</v>
      </c>
      <c r="M87" s="213">
        <v>65</v>
      </c>
      <c r="N87" s="225">
        <v>0.2</v>
      </c>
      <c r="O87" s="213">
        <v>0</v>
      </c>
      <c r="P87" s="213">
        <v>0</v>
      </c>
      <c r="Q87" s="220">
        <v>0</v>
      </c>
      <c r="R87" s="220">
        <v>0</v>
      </c>
      <c r="S87" s="220">
        <v>0</v>
      </c>
    </row>
    <row r="88" spans="1:19">
      <c r="A88" s="211">
        <v>46</v>
      </c>
      <c r="B88" s="212">
        <v>41</v>
      </c>
      <c r="C88" s="213">
        <v>215</v>
      </c>
      <c r="D88" s="213">
        <v>97</v>
      </c>
      <c r="E88" s="213">
        <v>1</v>
      </c>
      <c r="F88" s="213">
        <v>0</v>
      </c>
      <c r="G88" s="221">
        <v>0.14000000000000001</v>
      </c>
      <c r="H88" s="213">
        <v>12</v>
      </c>
      <c r="I88" s="223">
        <v>5</v>
      </c>
      <c r="J88" s="223">
        <v>0</v>
      </c>
      <c r="K88" s="221">
        <v>1</v>
      </c>
      <c r="L88" s="220">
        <f t="shared" si="1"/>
        <v>85</v>
      </c>
      <c r="M88" s="213">
        <v>65</v>
      </c>
      <c r="N88" s="225">
        <v>0.2</v>
      </c>
      <c r="O88" s="213">
        <v>0</v>
      </c>
      <c r="P88" s="213">
        <v>0</v>
      </c>
      <c r="Q88" s="220">
        <v>0</v>
      </c>
      <c r="R88" s="220">
        <v>0</v>
      </c>
      <c r="S88" s="220">
        <v>0</v>
      </c>
    </row>
    <row r="89" spans="1:19">
      <c r="A89" s="211">
        <v>45</v>
      </c>
      <c r="B89" s="212">
        <v>41</v>
      </c>
      <c r="C89" s="213">
        <v>3</v>
      </c>
      <c r="D89" s="213">
        <v>3</v>
      </c>
      <c r="E89" s="213">
        <v>0</v>
      </c>
      <c r="F89" s="213">
        <v>0</v>
      </c>
      <c r="G89" s="221">
        <v>0.12</v>
      </c>
      <c r="H89" s="213">
        <v>0</v>
      </c>
      <c r="I89" s="223">
        <v>0</v>
      </c>
      <c r="J89" s="223">
        <v>0</v>
      </c>
      <c r="K89" s="221">
        <v>1</v>
      </c>
      <c r="L89" s="220">
        <f t="shared" si="1"/>
        <v>85</v>
      </c>
      <c r="M89" s="213">
        <v>65</v>
      </c>
      <c r="N89" s="225">
        <v>0.2</v>
      </c>
      <c r="O89" s="213">
        <v>0</v>
      </c>
      <c r="P89" s="213">
        <v>0</v>
      </c>
      <c r="Q89" s="220">
        <v>0</v>
      </c>
      <c r="R89" s="220">
        <v>0</v>
      </c>
      <c r="S89" s="220">
        <v>0</v>
      </c>
    </row>
    <row r="90" spans="1:19">
      <c r="A90" s="211">
        <v>44</v>
      </c>
      <c r="B90" s="212">
        <v>39</v>
      </c>
      <c r="C90" s="213">
        <v>246</v>
      </c>
      <c r="D90" s="213">
        <v>116</v>
      </c>
      <c r="E90" s="213">
        <v>0</v>
      </c>
      <c r="F90" s="213">
        <v>0</v>
      </c>
      <c r="G90" s="221">
        <v>0.11</v>
      </c>
      <c r="H90" s="213">
        <v>10</v>
      </c>
      <c r="I90" s="223">
        <v>5</v>
      </c>
      <c r="J90" s="223">
        <v>0</v>
      </c>
      <c r="K90" s="221">
        <v>1</v>
      </c>
      <c r="L90" s="220">
        <f t="shared" si="1"/>
        <v>85</v>
      </c>
      <c r="M90" s="213">
        <v>65</v>
      </c>
      <c r="N90" s="225">
        <v>0.2</v>
      </c>
      <c r="O90" s="213">
        <v>0</v>
      </c>
      <c r="P90" s="213">
        <v>0</v>
      </c>
      <c r="Q90" s="220">
        <v>0</v>
      </c>
      <c r="R90" s="220">
        <v>0</v>
      </c>
      <c r="S90" s="220">
        <v>0</v>
      </c>
    </row>
    <row r="91" spans="1:19">
      <c r="A91" s="211">
        <v>43</v>
      </c>
      <c r="B91" s="212">
        <v>38</v>
      </c>
      <c r="C91" s="213">
        <v>5</v>
      </c>
      <c r="D91" s="213">
        <v>2</v>
      </c>
      <c r="E91" s="213">
        <v>0</v>
      </c>
      <c r="F91" s="213">
        <v>0</v>
      </c>
      <c r="G91" s="221">
        <v>0.09</v>
      </c>
      <c r="H91" s="213">
        <v>0</v>
      </c>
      <c r="I91" s="223">
        <v>0</v>
      </c>
      <c r="J91" s="223">
        <v>0</v>
      </c>
      <c r="K91" s="221">
        <v>1</v>
      </c>
      <c r="L91" s="220">
        <f t="shared" si="1"/>
        <v>85</v>
      </c>
      <c r="M91" s="213">
        <v>65</v>
      </c>
      <c r="N91" s="225">
        <v>0.2</v>
      </c>
      <c r="O91" s="213">
        <v>0</v>
      </c>
      <c r="P91" s="213">
        <v>0</v>
      </c>
      <c r="Q91" s="220">
        <v>0</v>
      </c>
      <c r="R91" s="220">
        <v>0</v>
      </c>
      <c r="S91" s="220">
        <v>0</v>
      </c>
    </row>
    <row r="92" spans="1:19">
      <c r="A92" s="211">
        <v>42</v>
      </c>
      <c r="B92" s="212">
        <v>37</v>
      </c>
      <c r="C92" s="213">
        <v>251</v>
      </c>
      <c r="D92" s="213">
        <v>116</v>
      </c>
      <c r="E92" s="213">
        <v>0</v>
      </c>
      <c r="F92" s="213">
        <v>0</v>
      </c>
      <c r="G92" s="221">
        <v>7.0000000000000007E-2</v>
      </c>
      <c r="H92" s="213">
        <v>7</v>
      </c>
      <c r="I92" s="223">
        <v>3</v>
      </c>
      <c r="J92" s="223">
        <v>0</v>
      </c>
      <c r="K92" s="221">
        <v>1</v>
      </c>
      <c r="L92" s="220">
        <f t="shared" si="1"/>
        <v>85</v>
      </c>
      <c r="M92" s="213">
        <v>65</v>
      </c>
      <c r="N92" s="225">
        <v>0.2</v>
      </c>
      <c r="O92" s="213">
        <v>0</v>
      </c>
      <c r="P92" s="213">
        <v>0</v>
      </c>
      <c r="Q92" s="220">
        <v>0</v>
      </c>
      <c r="R92" s="220">
        <v>0</v>
      </c>
      <c r="S92" s="220">
        <v>0</v>
      </c>
    </row>
    <row r="93" spans="1:19">
      <c r="A93" s="211">
        <v>41</v>
      </c>
      <c r="B93" s="212">
        <v>36</v>
      </c>
      <c r="C93" s="213">
        <v>138</v>
      </c>
      <c r="D93" s="213">
        <v>1</v>
      </c>
      <c r="E93" s="213">
        <v>1</v>
      </c>
      <c r="F93" s="213">
        <v>0</v>
      </c>
      <c r="G93" s="221">
        <v>0.05</v>
      </c>
      <c r="H93" s="213">
        <v>3</v>
      </c>
      <c r="I93" s="223">
        <v>0</v>
      </c>
      <c r="J93" s="223">
        <v>0</v>
      </c>
      <c r="K93" s="221">
        <v>1</v>
      </c>
      <c r="L93" s="220">
        <f t="shared" si="1"/>
        <v>85</v>
      </c>
      <c r="M93" s="213">
        <v>65</v>
      </c>
      <c r="N93" s="225">
        <v>0.2</v>
      </c>
      <c r="O93" s="213">
        <v>0</v>
      </c>
      <c r="P93" s="213">
        <v>0</v>
      </c>
      <c r="Q93" s="220">
        <v>0</v>
      </c>
      <c r="R93" s="220">
        <v>0</v>
      </c>
      <c r="S93" s="220">
        <v>0</v>
      </c>
    </row>
    <row r="94" spans="1:19">
      <c r="A94" s="211">
        <v>40</v>
      </c>
      <c r="B94" s="212">
        <v>35</v>
      </c>
      <c r="C94" s="213">
        <v>8</v>
      </c>
      <c r="D94" s="213">
        <v>56</v>
      </c>
      <c r="E94" s="213">
        <v>0</v>
      </c>
      <c r="F94" s="213">
        <v>0</v>
      </c>
      <c r="G94" s="221">
        <v>0.04</v>
      </c>
      <c r="H94" s="213">
        <v>0</v>
      </c>
      <c r="I94" s="223">
        <v>1</v>
      </c>
      <c r="J94" s="223">
        <v>0</v>
      </c>
      <c r="K94" s="221">
        <v>1</v>
      </c>
      <c r="L94" s="220">
        <f t="shared" si="1"/>
        <v>85</v>
      </c>
      <c r="M94" s="213">
        <v>65</v>
      </c>
      <c r="N94" s="225">
        <v>0.2</v>
      </c>
      <c r="O94" s="213">
        <v>0</v>
      </c>
      <c r="P94" s="213">
        <v>0</v>
      </c>
      <c r="Q94" s="220">
        <v>0</v>
      </c>
      <c r="R94" s="220">
        <v>0</v>
      </c>
      <c r="S94" s="220">
        <v>0</v>
      </c>
    </row>
    <row r="95" spans="1:19">
      <c r="A95" s="211">
        <v>39</v>
      </c>
      <c r="B95" s="212">
        <v>35</v>
      </c>
      <c r="C95" s="213">
        <v>245</v>
      </c>
      <c r="D95" s="213">
        <v>97</v>
      </c>
      <c r="E95" s="213">
        <v>3</v>
      </c>
      <c r="F95" s="213">
        <v>0</v>
      </c>
      <c r="G95" s="221">
        <v>0.02</v>
      </c>
      <c r="H95" s="213">
        <v>2</v>
      </c>
      <c r="I95" s="223">
        <v>1</v>
      </c>
      <c r="J95" s="223">
        <v>0</v>
      </c>
      <c r="K95" s="221">
        <v>1</v>
      </c>
      <c r="L95" s="220">
        <f t="shared" si="1"/>
        <v>85</v>
      </c>
      <c r="M95" s="213">
        <v>65</v>
      </c>
      <c r="N95" s="225">
        <v>0.2</v>
      </c>
      <c r="O95" s="213">
        <v>0</v>
      </c>
      <c r="P95" s="213">
        <v>0</v>
      </c>
      <c r="Q95" s="220">
        <v>0</v>
      </c>
      <c r="R95" s="220">
        <v>0</v>
      </c>
      <c r="S95" s="220">
        <v>0</v>
      </c>
    </row>
    <row r="96" spans="1:19">
      <c r="A96" s="211">
        <v>38</v>
      </c>
      <c r="B96" s="212">
        <v>34</v>
      </c>
      <c r="C96" s="213">
        <v>16</v>
      </c>
      <c r="D96" s="213">
        <v>6</v>
      </c>
      <c r="E96" s="213">
        <v>1</v>
      </c>
      <c r="F96" s="213">
        <v>0</v>
      </c>
      <c r="G96" s="221">
        <v>0</v>
      </c>
      <c r="H96" s="213">
        <v>0</v>
      </c>
      <c r="I96" s="223">
        <v>0</v>
      </c>
      <c r="J96" s="223">
        <v>0</v>
      </c>
      <c r="K96" s="221">
        <v>1</v>
      </c>
      <c r="L96" s="220">
        <f t="shared" si="1"/>
        <v>85</v>
      </c>
      <c r="M96" s="213">
        <v>65</v>
      </c>
      <c r="N96" s="225">
        <v>0.2</v>
      </c>
      <c r="O96" s="213">
        <v>0</v>
      </c>
      <c r="P96" s="213">
        <v>0</v>
      </c>
      <c r="Q96" s="220">
        <v>0</v>
      </c>
      <c r="R96" s="220">
        <v>0</v>
      </c>
      <c r="S96" s="220">
        <v>0</v>
      </c>
    </row>
    <row r="97" spans="1:19">
      <c r="A97" s="211">
        <v>37</v>
      </c>
      <c r="B97" s="212">
        <v>33</v>
      </c>
      <c r="C97" s="213">
        <v>278</v>
      </c>
      <c r="D97" s="213">
        <v>138</v>
      </c>
      <c r="E97" s="213">
        <v>5</v>
      </c>
      <c r="F97" s="213">
        <v>0</v>
      </c>
      <c r="G97" s="221">
        <v>0</v>
      </c>
      <c r="H97" s="213">
        <v>0</v>
      </c>
      <c r="I97" s="223">
        <v>0</v>
      </c>
      <c r="J97" s="223">
        <v>0</v>
      </c>
      <c r="K97" s="221">
        <v>1</v>
      </c>
      <c r="L97" s="220">
        <f t="shared" si="1"/>
        <v>85</v>
      </c>
      <c r="M97" s="213">
        <v>65</v>
      </c>
      <c r="N97" s="225">
        <v>0.2</v>
      </c>
      <c r="O97" s="213">
        <v>0</v>
      </c>
      <c r="P97" s="213">
        <v>0</v>
      </c>
      <c r="Q97" s="220">
        <v>0</v>
      </c>
      <c r="R97" s="220">
        <v>0</v>
      </c>
      <c r="S97" s="220">
        <v>0</v>
      </c>
    </row>
    <row r="98" spans="1:19">
      <c r="A98" s="211">
        <v>36</v>
      </c>
      <c r="B98" s="212">
        <v>32</v>
      </c>
      <c r="C98" s="213">
        <v>34</v>
      </c>
      <c r="D98" s="213">
        <v>17</v>
      </c>
      <c r="E98" s="213">
        <v>0</v>
      </c>
      <c r="F98" s="213">
        <v>0</v>
      </c>
      <c r="G98" s="221">
        <v>0</v>
      </c>
      <c r="H98" s="213">
        <v>0</v>
      </c>
      <c r="I98" s="223">
        <v>0</v>
      </c>
      <c r="J98" s="223">
        <v>0</v>
      </c>
      <c r="K98" s="221">
        <v>1</v>
      </c>
      <c r="L98" s="220">
        <f t="shared" ref="L98:L129" si="2">$C$21</f>
        <v>85</v>
      </c>
      <c r="M98" s="213">
        <v>65</v>
      </c>
      <c r="N98" s="225">
        <v>0.2</v>
      </c>
      <c r="O98" s="213">
        <v>0</v>
      </c>
      <c r="P98" s="213">
        <v>0</v>
      </c>
      <c r="Q98" s="220">
        <v>0</v>
      </c>
      <c r="R98" s="220">
        <v>0</v>
      </c>
      <c r="S98" s="220">
        <v>0</v>
      </c>
    </row>
    <row r="99" spans="1:19">
      <c r="A99" s="211">
        <v>35</v>
      </c>
      <c r="B99" s="212">
        <v>31</v>
      </c>
      <c r="C99" s="213">
        <v>284</v>
      </c>
      <c r="D99" s="213">
        <v>115</v>
      </c>
      <c r="E99" s="213">
        <v>7</v>
      </c>
      <c r="F99" s="213">
        <v>0</v>
      </c>
      <c r="G99" s="221">
        <v>0</v>
      </c>
      <c r="H99" s="213">
        <v>0</v>
      </c>
      <c r="I99" s="223">
        <v>0</v>
      </c>
      <c r="J99" s="223">
        <v>0</v>
      </c>
      <c r="K99" s="221">
        <v>1</v>
      </c>
      <c r="L99" s="220">
        <f t="shared" si="2"/>
        <v>85</v>
      </c>
      <c r="M99" s="213">
        <v>65</v>
      </c>
      <c r="N99" s="225">
        <v>0.2</v>
      </c>
      <c r="O99" s="213">
        <v>0</v>
      </c>
      <c r="P99" s="213">
        <v>0</v>
      </c>
      <c r="Q99" s="220">
        <v>0</v>
      </c>
      <c r="R99" s="220">
        <v>0</v>
      </c>
      <c r="S99" s="220">
        <v>0</v>
      </c>
    </row>
    <row r="100" spans="1:19">
      <c r="A100" s="211">
        <v>34</v>
      </c>
      <c r="B100" s="212">
        <v>30</v>
      </c>
      <c r="C100" s="213">
        <v>30</v>
      </c>
      <c r="D100" s="213">
        <v>20</v>
      </c>
      <c r="E100" s="213">
        <v>0</v>
      </c>
      <c r="F100" s="213">
        <v>0</v>
      </c>
      <c r="G100" s="221">
        <v>0</v>
      </c>
      <c r="H100" s="213">
        <v>0</v>
      </c>
      <c r="I100" s="223">
        <v>0</v>
      </c>
      <c r="J100" s="223">
        <v>0</v>
      </c>
      <c r="K100" s="221">
        <v>1</v>
      </c>
      <c r="L100" s="220">
        <f t="shared" si="2"/>
        <v>85</v>
      </c>
      <c r="M100" s="213">
        <v>65</v>
      </c>
      <c r="N100" s="225">
        <v>0.2</v>
      </c>
      <c r="O100" s="213">
        <v>0</v>
      </c>
      <c r="P100" s="213">
        <v>0</v>
      </c>
      <c r="Q100" s="220">
        <v>0</v>
      </c>
      <c r="R100" s="220">
        <v>0</v>
      </c>
      <c r="S100" s="220">
        <v>0</v>
      </c>
    </row>
    <row r="101" spans="1:19">
      <c r="A101" s="211">
        <v>33</v>
      </c>
      <c r="B101" s="212">
        <v>29</v>
      </c>
      <c r="C101" s="213">
        <v>275</v>
      </c>
      <c r="D101" s="213">
        <v>122</v>
      </c>
      <c r="E101" s="213">
        <v>3</v>
      </c>
      <c r="F101" s="213">
        <v>0</v>
      </c>
      <c r="G101" s="221">
        <v>0</v>
      </c>
      <c r="H101" s="213">
        <v>0</v>
      </c>
      <c r="I101" s="223">
        <v>0</v>
      </c>
      <c r="J101" s="223">
        <v>0</v>
      </c>
      <c r="K101" s="221">
        <v>1</v>
      </c>
      <c r="L101" s="220">
        <f t="shared" si="2"/>
        <v>85</v>
      </c>
      <c r="M101" s="213">
        <v>65</v>
      </c>
      <c r="N101" s="225">
        <v>0.2</v>
      </c>
      <c r="O101" s="213">
        <v>0</v>
      </c>
      <c r="P101" s="213">
        <v>0</v>
      </c>
      <c r="Q101" s="220">
        <v>0</v>
      </c>
      <c r="R101" s="220">
        <v>0</v>
      </c>
      <c r="S101" s="220">
        <v>0</v>
      </c>
    </row>
    <row r="102" spans="1:19">
      <c r="A102" s="211">
        <v>32</v>
      </c>
      <c r="B102" s="212">
        <v>28</v>
      </c>
      <c r="C102" s="213">
        <v>168</v>
      </c>
      <c r="D102" s="213">
        <v>18</v>
      </c>
      <c r="E102" s="213">
        <v>6</v>
      </c>
      <c r="F102" s="213">
        <v>0</v>
      </c>
      <c r="G102" s="221">
        <v>0</v>
      </c>
      <c r="H102" s="213">
        <v>0</v>
      </c>
      <c r="I102" s="223">
        <v>0</v>
      </c>
      <c r="J102" s="223">
        <v>0</v>
      </c>
      <c r="K102" s="221">
        <v>1</v>
      </c>
      <c r="L102" s="220">
        <f t="shared" si="2"/>
        <v>85</v>
      </c>
      <c r="M102" s="213">
        <v>65</v>
      </c>
      <c r="N102" s="225">
        <v>0.2</v>
      </c>
      <c r="O102" s="213">
        <v>0</v>
      </c>
      <c r="P102" s="213">
        <v>0</v>
      </c>
      <c r="Q102" s="220">
        <v>0</v>
      </c>
      <c r="R102" s="220">
        <v>0</v>
      </c>
      <c r="S102" s="220">
        <v>0</v>
      </c>
    </row>
    <row r="103" spans="1:19">
      <c r="A103" s="211">
        <v>31</v>
      </c>
      <c r="B103" s="212">
        <v>27</v>
      </c>
      <c r="C103" s="213">
        <v>45</v>
      </c>
      <c r="D103" s="213">
        <v>74</v>
      </c>
      <c r="E103" s="213">
        <v>3</v>
      </c>
      <c r="F103" s="213">
        <v>0</v>
      </c>
      <c r="G103" s="221">
        <v>0</v>
      </c>
      <c r="H103" s="213">
        <v>0</v>
      </c>
      <c r="I103" s="223">
        <v>0</v>
      </c>
      <c r="J103" s="223">
        <v>0</v>
      </c>
      <c r="K103" s="221">
        <v>1</v>
      </c>
      <c r="L103" s="220">
        <f t="shared" si="2"/>
        <v>85</v>
      </c>
      <c r="M103" s="213">
        <v>65</v>
      </c>
      <c r="N103" s="225">
        <v>0.2</v>
      </c>
      <c r="O103" s="213">
        <v>0</v>
      </c>
      <c r="P103" s="213">
        <v>0</v>
      </c>
      <c r="Q103" s="220">
        <v>0</v>
      </c>
      <c r="R103" s="220">
        <v>0</v>
      </c>
      <c r="S103" s="220">
        <v>0</v>
      </c>
    </row>
    <row r="104" spans="1:19">
      <c r="A104" s="211">
        <v>30</v>
      </c>
      <c r="B104" s="212">
        <v>26</v>
      </c>
      <c r="C104" s="213">
        <v>269</v>
      </c>
      <c r="D104" s="213">
        <v>84</v>
      </c>
      <c r="E104" s="213">
        <v>10</v>
      </c>
      <c r="F104" s="213">
        <v>0</v>
      </c>
      <c r="G104" s="221">
        <v>0</v>
      </c>
      <c r="H104" s="213">
        <v>0</v>
      </c>
      <c r="I104" s="223">
        <v>0</v>
      </c>
      <c r="J104" s="223">
        <v>0</v>
      </c>
      <c r="K104" s="221">
        <v>1</v>
      </c>
      <c r="L104" s="220">
        <f t="shared" si="2"/>
        <v>85</v>
      </c>
      <c r="M104" s="213">
        <v>65</v>
      </c>
      <c r="N104" s="225">
        <v>0.2</v>
      </c>
      <c r="O104" s="213">
        <v>0</v>
      </c>
      <c r="P104" s="213">
        <v>0</v>
      </c>
      <c r="Q104" s="220">
        <v>0</v>
      </c>
      <c r="R104" s="220">
        <v>0</v>
      </c>
      <c r="S104" s="220">
        <v>0</v>
      </c>
    </row>
    <row r="105" spans="1:19">
      <c r="A105" s="211">
        <v>29</v>
      </c>
      <c r="B105" s="212">
        <v>25</v>
      </c>
      <c r="C105" s="213">
        <v>36</v>
      </c>
      <c r="D105" s="213">
        <v>12</v>
      </c>
      <c r="E105" s="213">
        <v>2</v>
      </c>
      <c r="F105" s="213">
        <v>0</v>
      </c>
      <c r="G105" s="221">
        <v>0</v>
      </c>
      <c r="H105" s="213">
        <v>0</v>
      </c>
      <c r="I105" s="223">
        <v>0</v>
      </c>
      <c r="J105" s="223">
        <v>0</v>
      </c>
      <c r="K105" s="221">
        <v>1</v>
      </c>
      <c r="L105" s="220">
        <f t="shared" si="2"/>
        <v>85</v>
      </c>
      <c r="M105" s="213">
        <v>65</v>
      </c>
      <c r="N105" s="225">
        <v>0.2</v>
      </c>
      <c r="O105" s="213">
        <v>0</v>
      </c>
      <c r="P105" s="213">
        <v>0</v>
      </c>
      <c r="Q105" s="220">
        <v>0</v>
      </c>
      <c r="R105" s="220">
        <v>0</v>
      </c>
      <c r="S105" s="220">
        <v>0</v>
      </c>
    </row>
    <row r="106" spans="1:19">
      <c r="A106" s="211">
        <v>28</v>
      </c>
      <c r="B106" s="212">
        <v>24</v>
      </c>
      <c r="C106" s="213">
        <v>223</v>
      </c>
      <c r="D106" s="213">
        <v>69</v>
      </c>
      <c r="E106" s="213">
        <v>6</v>
      </c>
      <c r="F106" s="213">
        <v>0</v>
      </c>
      <c r="G106" s="221">
        <v>0</v>
      </c>
      <c r="H106" s="213">
        <v>0</v>
      </c>
      <c r="I106" s="223">
        <v>0</v>
      </c>
      <c r="J106" s="223">
        <v>0</v>
      </c>
      <c r="K106" s="221">
        <v>1</v>
      </c>
      <c r="L106" s="220">
        <f t="shared" si="2"/>
        <v>85</v>
      </c>
      <c r="M106" s="213">
        <v>65</v>
      </c>
      <c r="N106" s="225">
        <v>0.2</v>
      </c>
      <c r="O106" s="213">
        <v>0</v>
      </c>
      <c r="P106" s="213">
        <v>0</v>
      </c>
      <c r="Q106" s="220">
        <v>0</v>
      </c>
      <c r="R106" s="220">
        <v>0</v>
      </c>
      <c r="S106" s="220">
        <v>0</v>
      </c>
    </row>
    <row r="107" spans="1:19">
      <c r="A107" s="211">
        <v>27</v>
      </c>
      <c r="B107" s="212">
        <v>23</v>
      </c>
      <c r="C107" s="213">
        <v>37</v>
      </c>
      <c r="D107" s="213">
        <v>11</v>
      </c>
      <c r="E107" s="213">
        <v>0</v>
      </c>
      <c r="F107" s="213">
        <v>0</v>
      </c>
      <c r="G107" s="221">
        <v>0</v>
      </c>
      <c r="H107" s="213">
        <v>0</v>
      </c>
      <c r="I107" s="223">
        <v>0</v>
      </c>
      <c r="J107" s="223">
        <v>0</v>
      </c>
      <c r="K107" s="221">
        <v>1</v>
      </c>
      <c r="L107" s="220">
        <f t="shared" si="2"/>
        <v>85</v>
      </c>
      <c r="M107" s="213">
        <v>65</v>
      </c>
      <c r="N107" s="225">
        <v>0.2</v>
      </c>
      <c r="O107" s="213">
        <v>0</v>
      </c>
      <c r="P107" s="213">
        <v>0</v>
      </c>
      <c r="Q107" s="220">
        <v>0</v>
      </c>
      <c r="R107" s="220">
        <v>0</v>
      </c>
      <c r="S107" s="220">
        <v>0</v>
      </c>
    </row>
    <row r="108" spans="1:19">
      <c r="A108" s="211">
        <v>26</v>
      </c>
      <c r="B108" s="212">
        <v>22</v>
      </c>
      <c r="C108" s="213">
        <v>226</v>
      </c>
      <c r="D108" s="213">
        <v>84</v>
      </c>
      <c r="E108" s="213">
        <v>6</v>
      </c>
      <c r="F108" s="213">
        <v>0</v>
      </c>
      <c r="G108" s="221">
        <v>0</v>
      </c>
      <c r="H108" s="213">
        <v>0</v>
      </c>
      <c r="I108" s="223">
        <v>0</v>
      </c>
      <c r="J108" s="223">
        <v>0</v>
      </c>
      <c r="K108" s="221">
        <v>1</v>
      </c>
      <c r="L108" s="220">
        <f t="shared" si="2"/>
        <v>85</v>
      </c>
      <c r="M108" s="213">
        <v>65</v>
      </c>
      <c r="N108" s="225">
        <v>0.2</v>
      </c>
      <c r="O108" s="213">
        <v>0</v>
      </c>
      <c r="P108" s="213">
        <v>0</v>
      </c>
      <c r="Q108" s="220">
        <v>0</v>
      </c>
      <c r="R108" s="220">
        <v>0</v>
      </c>
      <c r="S108" s="220">
        <v>0</v>
      </c>
    </row>
    <row r="109" spans="1:19">
      <c r="A109" s="211">
        <v>25</v>
      </c>
      <c r="B109" s="212">
        <v>21</v>
      </c>
      <c r="C109" s="213">
        <v>42</v>
      </c>
      <c r="D109" s="213">
        <v>20</v>
      </c>
      <c r="E109" s="213">
        <v>3</v>
      </c>
      <c r="F109" s="213">
        <v>0</v>
      </c>
      <c r="G109" s="221">
        <v>0</v>
      </c>
      <c r="H109" s="213">
        <v>0</v>
      </c>
      <c r="I109" s="223">
        <v>0</v>
      </c>
      <c r="J109" s="223">
        <v>0</v>
      </c>
      <c r="K109" s="221">
        <v>1</v>
      </c>
      <c r="L109" s="220">
        <f t="shared" si="2"/>
        <v>85</v>
      </c>
      <c r="M109" s="213">
        <v>65</v>
      </c>
      <c r="N109" s="225">
        <v>0.2</v>
      </c>
      <c r="O109" s="213">
        <v>0</v>
      </c>
      <c r="P109" s="213">
        <v>0</v>
      </c>
      <c r="Q109" s="220">
        <v>0</v>
      </c>
      <c r="R109" s="220">
        <v>0</v>
      </c>
      <c r="S109" s="220">
        <v>0</v>
      </c>
    </row>
    <row r="110" spans="1:19">
      <c r="A110" s="211">
        <v>24</v>
      </c>
      <c r="B110" s="212">
        <v>20</v>
      </c>
      <c r="C110" s="213">
        <v>204</v>
      </c>
      <c r="D110" s="213">
        <v>77</v>
      </c>
      <c r="E110" s="213">
        <v>10</v>
      </c>
      <c r="F110" s="213">
        <v>0</v>
      </c>
      <c r="G110" s="221">
        <v>0</v>
      </c>
      <c r="H110" s="213">
        <v>0</v>
      </c>
      <c r="I110" s="223">
        <v>0</v>
      </c>
      <c r="J110" s="223">
        <v>0</v>
      </c>
      <c r="K110" s="221">
        <v>1</v>
      </c>
      <c r="L110" s="220">
        <f t="shared" si="2"/>
        <v>85</v>
      </c>
      <c r="M110" s="213">
        <v>65</v>
      </c>
      <c r="N110" s="225">
        <v>0.2</v>
      </c>
      <c r="O110" s="213">
        <v>0</v>
      </c>
      <c r="P110" s="213">
        <v>0</v>
      </c>
      <c r="Q110" s="220">
        <v>0</v>
      </c>
      <c r="R110" s="220">
        <v>0</v>
      </c>
      <c r="S110" s="220">
        <v>0</v>
      </c>
    </row>
    <row r="111" spans="1:19">
      <c r="A111" s="211">
        <v>23</v>
      </c>
      <c r="B111" s="212">
        <v>19</v>
      </c>
      <c r="C111" s="213">
        <v>112</v>
      </c>
      <c r="D111" s="213">
        <v>22</v>
      </c>
      <c r="E111" s="213">
        <v>6</v>
      </c>
      <c r="F111" s="213">
        <v>0</v>
      </c>
      <c r="G111" s="221">
        <v>0</v>
      </c>
      <c r="H111" s="213">
        <v>0</v>
      </c>
      <c r="I111" s="223">
        <v>0</v>
      </c>
      <c r="J111" s="223">
        <v>0</v>
      </c>
      <c r="K111" s="221">
        <v>1</v>
      </c>
      <c r="L111" s="220">
        <f t="shared" si="2"/>
        <v>85</v>
      </c>
      <c r="M111" s="213">
        <v>65</v>
      </c>
      <c r="N111" s="225">
        <v>0.2</v>
      </c>
      <c r="O111" s="213">
        <v>0</v>
      </c>
      <c r="P111" s="213">
        <v>0</v>
      </c>
      <c r="Q111" s="220">
        <v>0</v>
      </c>
      <c r="R111" s="220">
        <v>0</v>
      </c>
      <c r="S111" s="220">
        <v>0</v>
      </c>
    </row>
    <row r="112" spans="1:19">
      <c r="A112" s="211">
        <v>22</v>
      </c>
      <c r="B112" s="212">
        <v>18</v>
      </c>
      <c r="C112" s="213">
        <v>37</v>
      </c>
      <c r="D112" s="213">
        <v>43</v>
      </c>
      <c r="E112" s="213">
        <v>3</v>
      </c>
      <c r="F112" s="213">
        <v>0</v>
      </c>
      <c r="G112" s="221">
        <v>0</v>
      </c>
      <c r="H112" s="213">
        <v>0</v>
      </c>
      <c r="I112" s="223">
        <v>0</v>
      </c>
      <c r="J112" s="223">
        <v>0</v>
      </c>
      <c r="K112" s="221">
        <v>1</v>
      </c>
      <c r="L112" s="220">
        <f t="shared" si="2"/>
        <v>85</v>
      </c>
      <c r="M112" s="213">
        <v>65</v>
      </c>
      <c r="N112" s="225">
        <v>0.2</v>
      </c>
      <c r="O112" s="213">
        <v>0</v>
      </c>
      <c r="P112" s="213">
        <v>0</v>
      </c>
      <c r="Q112" s="220">
        <v>0</v>
      </c>
      <c r="R112" s="220">
        <v>0</v>
      </c>
      <c r="S112" s="220">
        <v>0</v>
      </c>
    </row>
    <row r="113" spans="1:19">
      <c r="A113" s="211">
        <v>21</v>
      </c>
      <c r="B113" s="212">
        <v>17</v>
      </c>
      <c r="C113" s="213">
        <v>155</v>
      </c>
      <c r="D113" s="213">
        <v>57</v>
      </c>
      <c r="E113" s="213">
        <v>4</v>
      </c>
      <c r="F113" s="213">
        <v>0</v>
      </c>
      <c r="G113" s="221">
        <v>0</v>
      </c>
      <c r="H113" s="213">
        <v>0</v>
      </c>
      <c r="I113" s="223">
        <v>0</v>
      </c>
      <c r="J113" s="223">
        <v>0</v>
      </c>
      <c r="K113" s="221">
        <v>1</v>
      </c>
      <c r="L113" s="220">
        <f t="shared" si="2"/>
        <v>85</v>
      </c>
      <c r="M113" s="213">
        <v>65</v>
      </c>
      <c r="N113" s="225">
        <v>0.2</v>
      </c>
      <c r="O113" s="213">
        <v>0</v>
      </c>
      <c r="P113" s="213">
        <v>0</v>
      </c>
      <c r="Q113" s="220">
        <v>0</v>
      </c>
      <c r="R113" s="220">
        <v>0</v>
      </c>
      <c r="S113" s="220">
        <v>0</v>
      </c>
    </row>
    <row r="114" spans="1:19">
      <c r="A114" s="211">
        <v>20</v>
      </c>
      <c r="B114" s="212">
        <v>16</v>
      </c>
      <c r="C114" s="213">
        <v>19</v>
      </c>
      <c r="D114" s="213">
        <v>9</v>
      </c>
      <c r="E114" s="213">
        <v>1</v>
      </c>
      <c r="F114" s="213">
        <v>0</v>
      </c>
      <c r="G114" s="221">
        <v>0</v>
      </c>
      <c r="H114" s="213">
        <v>0</v>
      </c>
      <c r="I114" s="223">
        <v>0</v>
      </c>
      <c r="J114" s="223">
        <v>0</v>
      </c>
      <c r="K114" s="221">
        <v>1</v>
      </c>
      <c r="L114" s="220">
        <f t="shared" si="2"/>
        <v>85</v>
      </c>
      <c r="M114" s="213">
        <v>65</v>
      </c>
      <c r="N114" s="225">
        <v>0.2</v>
      </c>
      <c r="O114" s="213">
        <v>0</v>
      </c>
      <c r="P114" s="213">
        <v>0</v>
      </c>
      <c r="Q114" s="220">
        <v>0</v>
      </c>
      <c r="R114" s="220">
        <v>0</v>
      </c>
      <c r="S114" s="220">
        <v>0</v>
      </c>
    </row>
    <row r="115" spans="1:19">
      <c r="A115" s="211">
        <v>19</v>
      </c>
      <c r="B115" s="212">
        <v>16</v>
      </c>
      <c r="C115" s="213">
        <v>95</v>
      </c>
      <c r="D115" s="213">
        <v>54</v>
      </c>
      <c r="E115" s="213">
        <v>4</v>
      </c>
      <c r="F115" s="213">
        <v>0</v>
      </c>
      <c r="G115" s="221">
        <v>0</v>
      </c>
      <c r="H115" s="213">
        <v>0</v>
      </c>
      <c r="I115" s="223">
        <v>0</v>
      </c>
      <c r="J115" s="223">
        <v>0</v>
      </c>
      <c r="K115" s="221">
        <v>1</v>
      </c>
      <c r="L115" s="220">
        <f t="shared" si="2"/>
        <v>85</v>
      </c>
      <c r="M115" s="213">
        <v>65</v>
      </c>
      <c r="N115" s="225">
        <v>0.2</v>
      </c>
      <c r="O115" s="213">
        <v>0</v>
      </c>
      <c r="P115" s="213">
        <v>0</v>
      </c>
      <c r="Q115" s="220">
        <v>0</v>
      </c>
      <c r="R115" s="220">
        <v>0</v>
      </c>
      <c r="S115" s="220">
        <v>0</v>
      </c>
    </row>
    <row r="116" spans="1:19">
      <c r="A116" s="211">
        <v>18</v>
      </c>
      <c r="B116" s="212">
        <v>15</v>
      </c>
      <c r="C116" s="213">
        <v>19</v>
      </c>
      <c r="D116" s="213">
        <v>12</v>
      </c>
      <c r="E116" s="213">
        <v>2</v>
      </c>
      <c r="F116" s="213">
        <v>0</v>
      </c>
      <c r="G116" s="221">
        <v>0</v>
      </c>
      <c r="H116" s="213">
        <v>0</v>
      </c>
      <c r="I116" s="223">
        <v>0</v>
      </c>
      <c r="J116" s="223">
        <v>0</v>
      </c>
      <c r="K116" s="221">
        <v>1</v>
      </c>
      <c r="L116" s="220">
        <f t="shared" si="2"/>
        <v>85</v>
      </c>
      <c r="M116" s="213">
        <v>65</v>
      </c>
      <c r="N116" s="225">
        <v>0.2</v>
      </c>
      <c r="O116" s="213">
        <v>0</v>
      </c>
      <c r="P116" s="213">
        <v>0</v>
      </c>
      <c r="Q116" s="220">
        <v>0</v>
      </c>
      <c r="R116" s="220">
        <v>0</v>
      </c>
      <c r="S116" s="220">
        <v>0</v>
      </c>
    </row>
    <row r="117" spans="1:19">
      <c r="A117" s="211">
        <v>17</v>
      </c>
      <c r="B117" s="212">
        <v>14</v>
      </c>
      <c r="C117" s="213">
        <v>94</v>
      </c>
      <c r="D117" s="213">
        <v>57</v>
      </c>
      <c r="E117" s="213">
        <v>8</v>
      </c>
      <c r="F117" s="213">
        <v>0</v>
      </c>
      <c r="G117" s="221">
        <v>0</v>
      </c>
      <c r="H117" s="213">
        <v>0</v>
      </c>
      <c r="I117" s="223">
        <v>0</v>
      </c>
      <c r="J117" s="223">
        <v>0</v>
      </c>
      <c r="K117" s="221">
        <v>1</v>
      </c>
      <c r="L117" s="220">
        <f t="shared" si="2"/>
        <v>85</v>
      </c>
      <c r="M117" s="213">
        <v>65</v>
      </c>
      <c r="N117" s="225">
        <v>0.2</v>
      </c>
      <c r="O117" s="213">
        <v>0</v>
      </c>
      <c r="P117" s="213">
        <v>0</v>
      </c>
      <c r="Q117" s="220">
        <v>0</v>
      </c>
      <c r="R117" s="220">
        <v>0</v>
      </c>
      <c r="S117" s="220">
        <v>0</v>
      </c>
    </row>
    <row r="118" spans="1:19">
      <c r="A118" s="211">
        <v>16</v>
      </c>
      <c r="B118" s="212">
        <v>13</v>
      </c>
      <c r="C118" s="213">
        <v>20</v>
      </c>
      <c r="D118" s="213">
        <v>10</v>
      </c>
      <c r="E118" s="213">
        <v>0</v>
      </c>
      <c r="F118" s="213">
        <v>0</v>
      </c>
      <c r="G118" s="221">
        <v>0</v>
      </c>
      <c r="H118" s="213">
        <v>0</v>
      </c>
      <c r="I118" s="223">
        <v>0</v>
      </c>
      <c r="J118" s="223">
        <v>0</v>
      </c>
      <c r="K118" s="221">
        <v>1</v>
      </c>
      <c r="L118" s="220">
        <f t="shared" si="2"/>
        <v>85</v>
      </c>
      <c r="M118" s="213">
        <v>65</v>
      </c>
      <c r="N118" s="225">
        <v>0.2</v>
      </c>
      <c r="O118" s="213">
        <v>0</v>
      </c>
      <c r="P118" s="213">
        <v>0</v>
      </c>
      <c r="Q118" s="220">
        <v>0</v>
      </c>
      <c r="R118" s="220">
        <v>0</v>
      </c>
      <c r="S118" s="220">
        <v>0</v>
      </c>
    </row>
    <row r="119" spans="1:19">
      <c r="A119" s="211">
        <v>15</v>
      </c>
      <c r="B119" s="212">
        <v>12</v>
      </c>
      <c r="C119" s="213">
        <v>102</v>
      </c>
      <c r="D119" s="213">
        <v>45</v>
      </c>
      <c r="E119" s="213">
        <v>5</v>
      </c>
      <c r="F119" s="213">
        <v>0</v>
      </c>
      <c r="G119" s="221">
        <v>0</v>
      </c>
      <c r="H119" s="213">
        <v>0</v>
      </c>
      <c r="I119" s="223">
        <v>0</v>
      </c>
      <c r="J119" s="223">
        <v>0</v>
      </c>
      <c r="K119" s="221">
        <v>1</v>
      </c>
      <c r="L119" s="220">
        <f t="shared" si="2"/>
        <v>85</v>
      </c>
      <c r="M119" s="213">
        <v>65</v>
      </c>
      <c r="N119" s="225">
        <v>0.2</v>
      </c>
      <c r="O119" s="213">
        <v>0</v>
      </c>
      <c r="P119" s="213">
        <v>0</v>
      </c>
      <c r="Q119" s="220">
        <v>0</v>
      </c>
      <c r="R119" s="220">
        <v>0</v>
      </c>
      <c r="S119" s="220">
        <v>0</v>
      </c>
    </row>
    <row r="120" spans="1:19">
      <c r="A120" s="211">
        <v>14</v>
      </c>
      <c r="B120" s="212">
        <v>11</v>
      </c>
      <c r="C120" s="213">
        <v>50</v>
      </c>
      <c r="D120" s="213">
        <v>8</v>
      </c>
      <c r="E120" s="213">
        <v>1</v>
      </c>
      <c r="F120" s="213">
        <v>0</v>
      </c>
      <c r="G120" s="221">
        <v>0</v>
      </c>
      <c r="H120" s="213">
        <v>0</v>
      </c>
      <c r="I120" s="223">
        <v>0</v>
      </c>
      <c r="J120" s="223">
        <v>0</v>
      </c>
      <c r="K120" s="221">
        <v>1</v>
      </c>
      <c r="L120" s="220">
        <f t="shared" si="2"/>
        <v>85</v>
      </c>
      <c r="M120" s="213">
        <v>65</v>
      </c>
      <c r="N120" s="225">
        <v>0.2</v>
      </c>
      <c r="O120" s="213">
        <v>0</v>
      </c>
      <c r="P120" s="213">
        <v>0</v>
      </c>
      <c r="Q120" s="220">
        <v>0</v>
      </c>
      <c r="R120" s="220">
        <v>0</v>
      </c>
      <c r="S120" s="220">
        <v>0</v>
      </c>
    </row>
    <row r="121" spans="1:19">
      <c r="A121" s="211">
        <v>13</v>
      </c>
      <c r="B121" s="212">
        <v>10</v>
      </c>
      <c r="C121" s="213">
        <v>35</v>
      </c>
      <c r="D121" s="213">
        <v>33</v>
      </c>
      <c r="E121" s="213">
        <v>1</v>
      </c>
      <c r="F121" s="213">
        <v>0</v>
      </c>
      <c r="G121" s="221">
        <v>0</v>
      </c>
      <c r="H121" s="213">
        <v>0</v>
      </c>
      <c r="I121" s="223">
        <v>0</v>
      </c>
      <c r="J121" s="223">
        <v>0</v>
      </c>
      <c r="K121" s="221">
        <v>1</v>
      </c>
      <c r="L121" s="220">
        <f t="shared" si="2"/>
        <v>85</v>
      </c>
      <c r="M121" s="213">
        <v>65</v>
      </c>
      <c r="N121" s="225">
        <v>0.2</v>
      </c>
      <c r="O121" s="213">
        <v>0</v>
      </c>
      <c r="P121" s="213">
        <v>0</v>
      </c>
      <c r="Q121" s="220">
        <v>0</v>
      </c>
      <c r="R121" s="220">
        <v>0</v>
      </c>
      <c r="S121" s="220">
        <v>0</v>
      </c>
    </row>
    <row r="122" spans="1:19">
      <c r="A122" s="211">
        <v>12</v>
      </c>
      <c r="B122" s="212">
        <v>9</v>
      </c>
      <c r="C122" s="213">
        <v>83</v>
      </c>
      <c r="D122" s="213">
        <v>37</v>
      </c>
      <c r="E122" s="213">
        <v>3</v>
      </c>
      <c r="F122" s="213">
        <v>0</v>
      </c>
      <c r="G122" s="221">
        <v>0</v>
      </c>
      <c r="H122" s="213">
        <v>0</v>
      </c>
      <c r="I122" s="223">
        <v>0</v>
      </c>
      <c r="J122" s="223">
        <v>0</v>
      </c>
      <c r="K122" s="221">
        <v>1</v>
      </c>
      <c r="L122" s="220">
        <f t="shared" si="2"/>
        <v>85</v>
      </c>
      <c r="M122" s="213">
        <v>65</v>
      </c>
      <c r="N122" s="225">
        <v>0.2</v>
      </c>
      <c r="O122" s="213">
        <v>0</v>
      </c>
      <c r="P122" s="213">
        <v>0</v>
      </c>
      <c r="Q122" s="220">
        <v>0</v>
      </c>
      <c r="R122" s="220">
        <v>0</v>
      </c>
      <c r="S122" s="220">
        <v>0</v>
      </c>
    </row>
    <row r="123" spans="1:19">
      <c r="A123" s="211">
        <v>11</v>
      </c>
      <c r="B123" s="212">
        <v>8</v>
      </c>
      <c r="C123" s="213">
        <v>22</v>
      </c>
      <c r="D123" s="213">
        <v>7</v>
      </c>
      <c r="E123" s="213">
        <v>0</v>
      </c>
      <c r="F123" s="213">
        <v>0</v>
      </c>
      <c r="G123" s="221">
        <v>0</v>
      </c>
      <c r="H123" s="213">
        <v>0</v>
      </c>
      <c r="I123" s="223">
        <v>0</v>
      </c>
      <c r="J123" s="223">
        <v>0</v>
      </c>
      <c r="K123" s="221">
        <v>1</v>
      </c>
      <c r="L123" s="220">
        <f t="shared" si="2"/>
        <v>85</v>
      </c>
      <c r="M123" s="213">
        <v>65</v>
      </c>
      <c r="N123" s="225">
        <v>0.2</v>
      </c>
      <c r="O123" s="213">
        <v>0</v>
      </c>
      <c r="P123" s="213">
        <v>0</v>
      </c>
      <c r="Q123" s="220">
        <v>0</v>
      </c>
      <c r="R123" s="220">
        <v>0</v>
      </c>
      <c r="S123" s="220">
        <v>0</v>
      </c>
    </row>
    <row r="124" spans="1:19">
      <c r="A124" s="211">
        <v>10</v>
      </c>
      <c r="B124" s="212">
        <v>7</v>
      </c>
      <c r="C124" s="213">
        <v>73</v>
      </c>
      <c r="D124" s="213">
        <v>40</v>
      </c>
      <c r="E124" s="213">
        <v>5</v>
      </c>
      <c r="F124" s="213">
        <v>0</v>
      </c>
      <c r="G124" s="221">
        <v>0</v>
      </c>
      <c r="H124" s="213">
        <v>0</v>
      </c>
      <c r="I124" s="223">
        <v>0</v>
      </c>
      <c r="J124" s="223">
        <v>0</v>
      </c>
      <c r="K124" s="221">
        <v>1</v>
      </c>
      <c r="L124" s="220">
        <f t="shared" si="2"/>
        <v>85</v>
      </c>
      <c r="M124" s="213">
        <v>65</v>
      </c>
      <c r="N124" s="225">
        <v>0.2</v>
      </c>
      <c r="O124" s="213">
        <v>0</v>
      </c>
      <c r="P124" s="213">
        <v>0</v>
      </c>
      <c r="Q124" s="220">
        <v>0</v>
      </c>
      <c r="R124" s="220">
        <v>0</v>
      </c>
      <c r="S124" s="220">
        <v>0</v>
      </c>
    </row>
    <row r="125" spans="1:19">
      <c r="A125" s="211">
        <v>9</v>
      </c>
      <c r="B125" s="212">
        <v>6</v>
      </c>
      <c r="C125" s="213">
        <v>15</v>
      </c>
      <c r="D125" s="213">
        <v>8</v>
      </c>
      <c r="E125" s="213">
        <v>0</v>
      </c>
      <c r="F125" s="213">
        <v>0</v>
      </c>
      <c r="G125" s="221">
        <v>0</v>
      </c>
      <c r="H125" s="213">
        <v>0</v>
      </c>
      <c r="I125" s="223">
        <v>0</v>
      </c>
      <c r="J125" s="223">
        <v>0</v>
      </c>
      <c r="K125" s="221">
        <v>1</v>
      </c>
      <c r="L125" s="220">
        <f t="shared" si="2"/>
        <v>85</v>
      </c>
      <c r="M125" s="213">
        <v>65</v>
      </c>
      <c r="N125" s="225">
        <v>0.2</v>
      </c>
      <c r="O125" s="213">
        <v>0</v>
      </c>
      <c r="P125" s="213">
        <v>0</v>
      </c>
      <c r="Q125" s="220">
        <v>0</v>
      </c>
      <c r="R125" s="220">
        <v>0</v>
      </c>
      <c r="S125" s="220">
        <v>0</v>
      </c>
    </row>
    <row r="126" spans="1:19">
      <c r="A126" s="211">
        <v>8</v>
      </c>
      <c r="B126" s="212">
        <v>5</v>
      </c>
      <c r="C126" s="213">
        <v>41</v>
      </c>
      <c r="D126" s="213">
        <v>22</v>
      </c>
      <c r="E126" s="213">
        <v>3</v>
      </c>
      <c r="F126" s="213">
        <v>0</v>
      </c>
      <c r="G126" s="221">
        <v>0</v>
      </c>
      <c r="H126" s="213">
        <v>0</v>
      </c>
      <c r="I126" s="223">
        <v>0</v>
      </c>
      <c r="J126" s="223">
        <v>0</v>
      </c>
      <c r="K126" s="221">
        <v>1</v>
      </c>
      <c r="L126" s="220">
        <f t="shared" si="2"/>
        <v>85</v>
      </c>
      <c r="M126" s="213">
        <v>65</v>
      </c>
      <c r="N126" s="225">
        <v>0.2</v>
      </c>
      <c r="O126" s="213">
        <v>0</v>
      </c>
      <c r="P126" s="213">
        <v>0</v>
      </c>
      <c r="Q126" s="220">
        <v>0</v>
      </c>
      <c r="R126" s="220">
        <v>0</v>
      </c>
      <c r="S126" s="220">
        <v>0</v>
      </c>
    </row>
    <row r="127" spans="1:19">
      <c r="A127" s="211">
        <v>7</v>
      </c>
      <c r="B127" s="212">
        <v>4</v>
      </c>
      <c r="C127" s="213">
        <v>10</v>
      </c>
      <c r="D127" s="213">
        <v>6</v>
      </c>
      <c r="E127" s="213">
        <v>0</v>
      </c>
      <c r="F127" s="213">
        <v>0</v>
      </c>
      <c r="G127" s="221">
        <v>0</v>
      </c>
      <c r="H127" s="213">
        <v>0</v>
      </c>
      <c r="I127" s="223">
        <v>0</v>
      </c>
      <c r="J127" s="223">
        <v>0</v>
      </c>
      <c r="K127" s="221">
        <v>1</v>
      </c>
      <c r="L127" s="220">
        <f t="shared" si="2"/>
        <v>85</v>
      </c>
      <c r="M127" s="213">
        <v>65</v>
      </c>
      <c r="N127" s="225">
        <v>0.2</v>
      </c>
      <c r="O127" s="213">
        <v>0</v>
      </c>
      <c r="P127" s="213">
        <v>0</v>
      </c>
      <c r="Q127" s="220">
        <v>0</v>
      </c>
      <c r="R127" s="220">
        <v>0</v>
      </c>
      <c r="S127" s="220">
        <v>0</v>
      </c>
    </row>
    <row r="128" spans="1:19">
      <c r="A128" s="211">
        <v>6</v>
      </c>
      <c r="B128" s="212">
        <v>4</v>
      </c>
      <c r="C128" s="213">
        <v>40</v>
      </c>
      <c r="D128" s="213">
        <v>17</v>
      </c>
      <c r="E128" s="213">
        <v>0</v>
      </c>
      <c r="F128" s="213">
        <v>0</v>
      </c>
      <c r="G128" s="221">
        <v>0</v>
      </c>
      <c r="H128" s="213">
        <v>0</v>
      </c>
      <c r="I128" s="223">
        <v>0</v>
      </c>
      <c r="J128" s="223">
        <v>0</v>
      </c>
      <c r="K128" s="221">
        <v>1</v>
      </c>
      <c r="L128" s="220">
        <f t="shared" si="2"/>
        <v>85</v>
      </c>
      <c r="M128" s="213">
        <v>65</v>
      </c>
      <c r="N128" s="225">
        <v>0.2</v>
      </c>
      <c r="O128" s="213">
        <v>0</v>
      </c>
      <c r="P128" s="213">
        <v>0</v>
      </c>
      <c r="Q128" s="220">
        <v>0</v>
      </c>
      <c r="R128" s="220">
        <v>0</v>
      </c>
      <c r="S128" s="220">
        <v>0</v>
      </c>
    </row>
    <row r="129" spans="1:19">
      <c r="A129" s="211">
        <v>5</v>
      </c>
      <c r="B129" s="212">
        <v>3</v>
      </c>
      <c r="C129" s="213">
        <v>20</v>
      </c>
      <c r="D129" s="213">
        <v>4</v>
      </c>
      <c r="E129" s="213">
        <v>1</v>
      </c>
      <c r="F129" s="213">
        <v>0</v>
      </c>
      <c r="G129" s="221">
        <v>0</v>
      </c>
      <c r="H129" s="213">
        <v>0</v>
      </c>
      <c r="I129" s="223">
        <v>0</v>
      </c>
      <c r="J129" s="223">
        <v>0</v>
      </c>
      <c r="K129" s="221">
        <v>1</v>
      </c>
      <c r="L129" s="220">
        <f t="shared" si="2"/>
        <v>85</v>
      </c>
      <c r="M129" s="213">
        <v>65</v>
      </c>
      <c r="N129" s="225">
        <v>0.2</v>
      </c>
      <c r="O129" s="213">
        <v>0</v>
      </c>
      <c r="P129" s="213">
        <v>0</v>
      </c>
      <c r="Q129" s="220">
        <v>0</v>
      </c>
      <c r="R129" s="220">
        <v>0</v>
      </c>
      <c r="S129" s="220">
        <v>0</v>
      </c>
    </row>
    <row r="130" spans="1:19">
      <c r="A130" s="211">
        <v>4</v>
      </c>
      <c r="B130" s="212">
        <v>2</v>
      </c>
      <c r="C130" s="213">
        <v>6</v>
      </c>
      <c r="D130" s="213">
        <v>7</v>
      </c>
      <c r="E130" s="213">
        <v>1</v>
      </c>
      <c r="F130" s="213">
        <v>0</v>
      </c>
      <c r="G130" s="221">
        <v>0</v>
      </c>
      <c r="H130" s="213">
        <v>0</v>
      </c>
      <c r="I130" s="223">
        <v>0</v>
      </c>
      <c r="J130" s="223">
        <v>0</v>
      </c>
      <c r="K130" s="221">
        <v>1</v>
      </c>
      <c r="L130" s="220">
        <f t="shared" ref="L130:L156" si="3">$C$21</f>
        <v>85</v>
      </c>
      <c r="M130" s="213">
        <v>65</v>
      </c>
      <c r="N130" s="225">
        <v>0.2</v>
      </c>
      <c r="O130" s="213">
        <v>0</v>
      </c>
      <c r="P130" s="213">
        <v>0</v>
      </c>
      <c r="Q130" s="220">
        <v>0</v>
      </c>
      <c r="R130" s="220">
        <v>0</v>
      </c>
      <c r="S130" s="220">
        <v>0</v>
      </c>
    </row>
    <row r="131" spans="1:19">
      <c r="A131" s="211">
        <v>3</v>
      </c>
      <c r="B131" s="212">
        <v>0</v>
      </c>
      <c r="C131" s="213">
        <v>23</v>
      </c>
      <c r="D131" s="213">
        <v>8</v>
      </c>
      <c r="E131" s="213">
        <v>2</v>
      </c>
      <c r="F131" s="213">
        <v>0</v>
      </c>
      <c r="G131" s="221">
        <v>0</v>
      </c>
      <c r="H131" s="213">
        <v>0</v>
      </c>
      <c r="I131" s="223">
        <v>0</v>
      </c>
      <c r="J131" s="223">
        <v>0</v>
      </c>
      <c r="K131" s="221">
        <v>1</v>
      </c>
      <c r="L131" s="220">
        <f t="shared" si="3"/>
        <v>85</v>
      </c>
      <c r="M131" s="213">
        <v>65</v>
      </c>
      <c r="N131" s="225">
        <v>0.2</v>
      </c>
      <c r="O131" s="213">
        <v>0</v>
      </c>
      <c r="P131" s="213">
        <v>0</v>
      </c>
      <c r="Q131" s="220">
        <v>0</v>
      </c>
      <c r="R131" s="220">
        <v>0</v>
      </c>
      <c r="S131" s="220">
        <v>0</v>
      </c>
    </row>
    <row r="132" spans="1:19">
      <c r="A132" s="211">
        <v>2</v>
      </c>
      <c r="B132" s="212">
        <v>0</v>
      </c>
      <c r="C132" s="213">
        <v>11</v>
      </c>
      <c r="D132" s="213">
        <v>3</v>
      </c>
      <c r="E132" s="213">
        <v>0</v>
      </c>
      <c r="F132" s="213">
        <v>0</v>
      </c>
      <c r="G132" s="221">
        <v>0</v>
      </c>
      <c r="H132" s="213">
        <v>0</v>
      </c>
      <c r="I132" s="223">
        <v>0</v>
      </c>
      <c r="J132" s="223">
        <v>0</v>
      </c>
      <c r="K132" s="221">
        <v>1</v>
      </c>
      <c r="L132" s="220">
        <f t="shared" si="3"/>
        <v>85</v>
      </c>
      <c r="M132" s="213">
        <v>65</v>
      </c>
      <c r="N132" s="225">
        <v>0.2</v>
      </c>
      <c r="O132" s="213">
        <v>0</v>
      </c>
      <c r="P132" s="213">
        <v>0</v>
      </c>
      <c r="Q132" s="220">
        <v>0</v>
      </c>
      <c r="R132" s="220">
        <v>0</v>
      </c>
      <c r="S132" s="220">
        <v>0</v>
      </c>
    </row>
    <row r="133" spans="1:19">
      <c r="A133" s="211">
        <v>1</v>
      </c>
      <c r="B133" s="212">
        <v>-1</v>
      </c>
      <c r="C133" s="213">
        <v>13</v>
      </c>
      <c r="D133" s="213">
        <v>7</v>
      </c>
      <c r="E133" s="213">
        <v>0</v>
      </c>
      <c r="F133" s="213">
        <v>0</v>
      </c>
      <c r="G133" s="221">
        <v>0</v>
      </c>
      <c r="H133" s="213">
        <v>0</v>
      </c>
      <c r="I133" s="223">
        <v>0</v>
      </c>
      <c r="J133" s="223">
        <v>0</v>
      </c>
      <c r="K133" s="221">
        <v>1</v>
      </c>
      <c r="L133" s="220">
        <f t="shared" si="3"/>
        <v>85</v>
      </c>
      <c r="M133" s="213">
        <v>65</v>
      </c>
      <c r="N133" s="225">
        <v>0.2</v>
      </c>
      <c r="O133" s="213">
        <v>0</v>
      </c>
      <c r="P133" s="213">
        <v>0</v>
      </c>
      <c r="Q133" s="220">
        <v>0</v>
      </c>
      <c r="R133" s="220">
        <v>0</v>
      </c>
      <c r="S133" s="220">
        <v>0</v>
      </c>
    </row>
    <row r="134" spans="1:19">
      <c r="A134" s="211">
        <v>0</v>
      </c>
      <c r="B134" s="212">
        <v>-2</v>
      </c>
      <c r="C134" s="213">
        <v>2</v>
      </c>
      <c r="D134" s="213">
        <v>1</v>
      </c>
      <c r="E134" s="213">
        <v>0</v>
      </c>
      <c r="F134" s="213">
        <v>0</v>
      </c>
      <c r="G134" s="221">
        <v>0</v>
      </c>
      <c r="H134" s="213">
        <v>0</v>
      </c>
      <c r="I134" s="223">
        <v>0</v>
      </c>
      <c r="J134" s="223">
        <v>0</v>
      </c>
      <c r="K134" s="221">
        <v>1</v>
      </c>
      <c r="L134" s="220">
        <f t="shared" si="3"/>
        <v>85</v>
      </c>
      <c r="M134" s="213">
        <v>65</v>
      </c>
      <c r="N134" s="225">
        <v>0.2</v>
      </c>
      <c r="O134" s="213">
        <v>0</v>
      </c>
      <c r="P134" s="213">
        <v>0</v>
      </c>
      <c r="Q134" s="220">
        <v>0</v>
      </c>
      <c r="R134" s="220">
        <v>0</v>
      </c>
      <c r="S134" s="220">
        <v>0</v>
      </c>
    </row>
    <row r="135" spans="1:19">
      <c r="A135" s="211">
        <v>-1</v>
      </c>
      <c r="B135" s="212">
        <v>-3</v>
      </c>
      <c r="C135" s="213">
        <v>7</v>
      </c>
      <c r="D135" s="213">
        <v>4</v>
      </c>
      <c r="E135" s="213">
        <v>1</v>
      </c>
      <c r="F135" s="213">
        <v>0</v>
      </c>
      <c r="G135" s="221">
        <v>0</v>
      </c>
      <c r="H135" s="213">
        <v>0</v>
      </c>
      <c r="I135" s="223">
        <v>0</v>
      </c>
      <c r="J135" s="223">
        <v>0</v>
      </c>
      <c r="K135" s="221">
        <v>1</v>
      </c>
      <c r="L135" s="220">
        <f t="shared" si="3"/>
        <v>85</v>
      </c>
      <c r="M135" s="213">
        <v>65</v>
      </c>
      <c r="N135" s="225">
        <v>0.2</v>
      </c>
      <c r="O135" s="213">
        <v>0</v>
      </c>
      <c r="P135" s="213">
        <v>0</v>
      </c>
      <c r="Q135" s="220">
        <v>0</v>
      </c>
      <c r="R135" s="220">
        <v>0</v>
      </c>
      <c r="S135" s="220">
        <v>0</v>
      </c>
    </row>
    <row r="136" spans="1:19">
      <c r="A136" s="211">
        <v>-2</v>
      </c>
      <c r="B136" s="212">
        <v>-4</v>
      </c>
      <c r="C136" s="213">
        <v>2</v>
      </c>
      <c r="D136" s="213">
        <v>0</v>
      </c>
      <c r="E136" s="213">
        <v>0</v>
      </c>
      <c r="F136" s="213">
        <v>0</v>
      </c>
      <c r="G136" s="221">
        <v>0</v>
      </c>
      <c r="H136" s="213">
        <v>0</v>
      </c>
      <c r="I136" s="223">
        <v>0</v>
      </c>
      <c r="J136" s="223">
        <v>0</v>
      </c>
      <c r="K136" s="221">
        <v>1</v>
      </c>
      <c r="L136" s="220">
        <f t="shared" si="3"/>
        <v>85</v>
      </c>
      <c r="M136" s="213">
        <v>65</v>
      </c>
      <c r="N136" s="225">
        <v>0.2</v>
      </c>
      <c r="O136" s="213">
        <v>0</v>
      </c>
      <c r="P136" s="213">
        <v>0</v>
      </c>
      <c r="Q136" s="220">
        <v>0</v>
      </c>
      <c r="R136" s="220">
        <v>0</v>
      </c>
      <c r="S136" s="220">
        <v>0</v>
      </c>
    </row>
    <row r="137" spans="1:19">
      <c r="A137" s="211">
        <v>-3</v>
      </c>
      <c r="B137" s="212">
        <v>-5</v>
      </c>
      <c r="C137" s="213">
        <v>5</v>
      </c>
      <c r="D137" s="213">
        <v>2</v>
      </c>
      <c r="E137" s="213">
        <v>1</v>
      </c>
      <c r="F137" s="213">
        <v>0</v>
      </c>
      <c r="G137" s="221">
        <v>0</v>
      </c>
      <c r="H137" s="213">
        <v>0</v>
      </c>
      <c r="I137" s="223">
        <v>0</v>
      </c>
      <c r="J137" s="223">
        <v>0</v>
      </c>
      <c r="K137" s="221">
        <v>1</v>
      </c>
      <c r="L137" s="220">
        <f t="shared" si="3"/>
        <v>85</v>
      </c>
      <c r="M137" s="213">
        <v>65</v>
      </c>
      <c r="N137" s="225">
        <v>0.2</v>
      </c>
      <c r="O137" s="213">
        <v>0</v>
      </c>
      <c r="P137" s="213">
        <v>0</v>
      </c>
      <c r="Q137" s="220">
        <v>0</v>
      </c>
      <c r="R137" s="220">
        <v>0</v>
      </c>
      <c r="S137" s="220">
        <v>0</v>
      </c>
    </row>
    <row r="138" spans="1:19">
      <c r="A138" s="211">
        <v>-4</v>
      </c>
      <c r="B138" s="212">
        <v>-6</v>
      </c>
      <c r="C138" s="213">
        <v>2</v>
      </c>
      <c r="D138" s="213">
        <v>1</v>
      </c>
      <c r="E138" s="213">
        <v>0</v>
      </c>
      <c r="F138" s="213">
        <v>0</v>
      </c>
      <c r="G138" s="221">
        <v>0</v>
      </c>
      <c r="H138" s="213">
        <v>0</v>
      </c>
      <c r="I138" s="223">
        <v>0</v>
      </c>
      <c r="J138" s="223">
        <v>0</v>
      </c>
      <c r="K138" s="221">
        <v>1</v>
      </c>
      <c r="L138" s="220">
        <f t="shared" si="3"/>
        <v>85</v>
      </c>
      <c r="M138" s="213">
        <v>65</v>
      </c>
      <c r="N138" s="225">
        <v>0.2</v>
      </c>
      <c r="O138" s="213">
        <v>0</v>
      </c>
      <c r="P138" s="213">
        <v>0</v>
      </c>
      <c r="Q138" s="220">
        <v>0</v>
      </c>
      <c r="R138" s="220">
        <v>0</v>
      </c>
      <c r="S138" s="220">
        <v>0</v>
      </c>
    </row>
    <row r="139" spans="1:19">
      <c r="A139" s="211">
        <v>-5</v>
      </c>
      <c r="B139" s="212">
        <v>-6</v>
      </c>
      <c r="C139" s="213">
        <v>0</v>
      </c>
      <c r="D139" s="213">
        <v>1</v>
      </c>
      <c r="E139" s="213">
        <v>0</v>
      </c>
      <c r="F139" s="213">
        <v>0</v>
      </c>
      <c r="G139" s="221">
        <v>0</v>
      </c>
      <c r="H139" s="213">
        <v>0</v>
      </c>
      <c r="I139" s="223">
        <v>0</v>
      </c>
      <c r="J139" s="223">
        <v>0</v>
      </c>
      <c r="K139" s="221">
        <v>1</v>
      </c>
      <c r="L139" s="220">
        <f t="shared" si="3"/>
        <v>85</v>
      </c>
      <c r="M139" s="213">
        <v>65</v>
      </c>
      <c r="N139" s="225">
        <v>0.2</v>
      </c>
      <c r="O139" s="213">
        <v>0</v>
      </c>
      <c r="P139" s="213">
        <v>0</v>
      </c>
      <c r="Q139" s="220">
        <v>0</v>
      </c>
      <c r="R139" s="220">
        <v>0</v>
      </c>
      <c r="S139" s="220">
        <v>0</v>
      </c>
    </row>
    <row r="140" spans="1:19">
      <c r="A140" s="211">
        <v>-6</v>
      </c>
      <c r="B140" s="212">
        <v>-6</v>
      </c>
      <c r="C140" s="213">
        <v>2</v>
      </c>
      <c r="D140" s="213">
        <v>2</v>
      </c>
      <c r="E140" s="213">
        <v>0</v>
      </c>
      <c r="F140" s="213">
        <v>0</v>
      </c>
      <c r="G140" s="221">
        <v>0</v>
      </c>
      <c r="H140" s="213">
        <v>0</v>
      </c>
      <c r="I140" s="223">
        <v>0</v>
      </c>
      <c r="J140" s="223">
        <v>0</v>
      </c>
      <c r="K140" s="221">
        <v>1</v>
      </c>
      <c r="L140" s="220">
        <f t="shared" si="3"/>
        <v>85</v>
      </c>
      <c r="M140" s="213">
        <v>65</v>
      </c>
      <c r="N140" s="225">
        <v>0.2</v>
      </c>
      <c r="O140" s="213">
        <v>0</v>
      </c>
      <c r="P140" s="213">
        <v>0</v>
      </c>
      <c r="Q140" s="220">
        <v>0</v>
      </c>
      <c r="R140" s="220">
        <v>0</v>
      </c>
      <c r="S140" s="220">
        <v>0</v>
      </c>
    </row>
    <row r="141" spans="1:19">
      <c r="A141" s="211">
        <v>-7</v>
      </c>
      <c r="B141" s="212">
        <v>-6</v>
      </c>
      <c r="C141" s="213">
        <v>0</v>
      </c>
      <c r="D141" s="213">
        <v>0</v>
      </c>
      <c r="E141" s="213">
        <v>0</v>
      </c>
      <c r="F141" s="213">
        <v>0</v>
      </c>
      <c r="G141" s="221">
        <v>0</v>
      </c>
      <c r="H141" s="213">
        <v>0</v>
      </c>
      <c r="I141" s="223">
        <v>0</v>
      </c>
      <c r="J141" s="223">
        <v>0</v>
      </c>
      <c r="K141" s="221">
        <v>1</v>
      </c>
      <c r="L141" s="220">
        <f t="shared" si="3"/>
        <v>85</v>
      </c>
      <c r="M141" s="213">
        <v>65</v>
      </c>
      <c r="N141" s="225">
        <v>0.2</v>
      </c>
      <c r="O141" s="213">
        <v>0</v>
      </c>
      <c r="P141" s="213">
        <v>0</v>
      </c>
      <c r="Q141" s="220">
        <v>0</v>
      </c>
      <c r="R141" s="220">
        <v>0</v>
      </c>
      <c r="S141" s="220">
        <v>0</v>
      </c>
    </row>
    <row r="142" spans="1:19">
      <c r="A142" s="211">
        <v>-8</v>
      </c>
      <c r="B142" s="212">
        <v>-6</v>
      </c>
      <c r="C142" s="213">
        <v>2</v>
      </c>
      <c r="D142" s="213">
        <v>1</v>
      </c>
      <c r="E142" s="213">
        <v>0</v>
      </c>
      <c r="F142" s="213">
        <v>0</v>
      </c>
      <c r="G142" s="221">
        <v>0</v>
      </c>
      <c r="H142" s="213">
        <v>0</v>
      </c>
      <c r="I142" s="223">
        <v>0</v>
      </c>
      <c r="J142" s="223">
        <v>0</v>
      </c>
      <c r="K142" s="221">
        <v>1</v>
      </c>
      <c r="L142" s="220">
        <f t="shared" si="3"/>
        <v>85</v>
      </c>
      <c r="M142" s="213">
        <v>65</v>
      </c>
      <c r="N142" s="225">
        <v>0.2</v>
      </c>
      <c r="O142" s="213">
        <v>0</v>
      </c>
      <c r="P142" s="213">
        <v>0</v>
      </c>
      <c r="Q142" s="220">
        <v>0</v>
      </c>
      <c r="R142" s="220">
        <v>0</v>
      </c>
      <c r="S142" s="220">
        <v>0</v>
      </c>
    </row>
    <row r="143" spans="1:19">
      <c r="A143" s="211">
        <v>-9</v>
      </c>
      <c r="B143" s="212">
        <v>-6</v>
      </c>
      <c r="C143" s="213">
        <v>2</v>
      </c>
      <c r="D143" s="213">
        <v>1</v>
      </c>
      <c r="E143" s="213">
        <v>0</v>
      </c>
      <c r="F143" s="213">
        <v>0</v>
      </c>
      <c r="G143" s="221">
        <v>0</v>
      </c>
      <c r="H143" s="213">
        <v>0</v>
      </c>
      <c r="I143" s="223">
        <v>0</v>
      </c>
      <c r="J143" s="223">
        <v>0</v>
      </c>
      <c r="K143" s="221">
        <v>1</v>
      </c>
      <c r="L143" s="220">
        <f t="shared" si="3"/>
        <v>85</v>
      </c>
      <c r="M143" s="213">
        <v>65</v>
      </c>
      <c r="N143" s="225">
        <v>0.2</v>
      </c>
      <c r="O143" s="213">
        <v>0</v>
      </c>
      <c r="P143" s="213">
        <v>0</v>
      </c>
      <c r="Q143" s="220">
        <v>0</v>
      </c>
      <c r="R143" s="220">
        <v>0</v>
      </c>
      <c r="S143" s="220">
        <v>0</v>
      </c>
    </row>
    <row r="144" spans="1:19">
      <c r="A144" s="211">
        <v>-10</v>
      </c>
      <c r="B144" s="212">
        <v>-6</v>
      </c>
      <c r="C144" s="213">
        <v>3</v>
      </c>
      <c r="D144" s="213">
        <v>0</v>
      </c>
      <c r="E144" s="213">
        <v>0</v>
      </c>
      <c r="F144" s="213">
        <v>0</v>
      </c>
      <c r="G144" s="221">
        <v>0</v>
      </c>
      <c r="H144" s="213">
        <v>0</v>
      </c>
      <c r="I144" s="223">
        <v>0</v>
      </c>
      <c r="J144" s="223">
        <v>0</v>
      </c>
      <c r="K144" s="221">
        <v>1</v>
      </c>
      <c r="L144" s="220">
        <f t="shared" si="3"/>
        <v>85</v>
      </c>
      <c r="M144" s="213">
        <v>65</v>
      </c>
      <c r="N144" s="225">
        <v>0.2</v>
      </c>
      <c r="O144" s="213">
        <v>0</v>
      </c>
      <c r="P144" s="213">
        <v>0</v>
      </c>
      <c r="Q144" s="220">
        <v>0</v>
      </c>
      <c r="R144" s="220">
        <v>0</v>
      </c>
      <c r="S144" s="220">
        <v>0</v>
      </c>
    </row>
    <row r="145" spans="1:19">
      <c r="A145" s="211">
        <v>-11</v>
      </c>
      <c r="B145" s="212">
        <v>-6</v>
      </c>
      <c r="C145" s="213">
        <v>2</v>
      </c>
      <c r="D145" s="213">
        <v>0</v>
      </c>
      <c r="E145" s="213">
        <v>0</v>
      </c>
      <c r="F145" s="213">
        <v>0</v>
      </c>
      <c r="G145" s="221">
        <v>0</v>
      </c>
      <c r="H145" s="213">
        <v>0</v>
      </c>
      <c r="I145" s="223">
        <v>0</v>
      </c>
      <c r="J145" s="223">
        <v>0</v>
      </c>
      <c r="K145" s="221">
        <v>1</v>
      </c>
      <c r="L145" s="220">
        <f t="shared" si="3"/>
        <v>85</v>
      </c>
      <c r="M145" s="213">
        <v>65</v>
      </c>
      <c r="N145" s="225">
        <v>0.2</v>
      </c>
      <c r="O145" s="213">
        <v>0</v>
      </c>
      <c r="P145" s="213">
        <v>0</v>
      </c>
      <c r="Q145" s="220">
        <v>0</v>
      </c>
      <c r="R145" s="220">
        <v>0</v>
      </c>
      <c r="S145" s="220">
        <v>0</v>
      </c>
    </row>
    <row r="146" spans="1:19">
      <c r="A146" s="211">
        <v>-12</v>
      </c>
      <c r="B146" s="212">
        <v>-6</v>
      </c>
      <c r="C146" s="213">
        <v>1</v>
      </c>
      <c r="D146" s="213">
        <v>0</v>
      </c>
      <c r="E146" s="213">
        <v>0</v>
      </c>
      <c r="F146" s="213">
        <v>0</v>
      </c>
      <c r="G146" s="221">
        <v>0</v>
      </c>
      <c r="H146" s="213">
        <v>0</v>
      </c>
      <c r="I146" s="223">
        <v>0</v>
      </c>
      <c r="J146" s="223">
        <v>0</v>
      </c>
      <c r="K146" s="221">
        <v>1</v>
      </c>
      <c r="L146" s="220">
        <f t="shared" si="3"/>
        <v>85</v>
      </c>
      <c r="M146" s="213">
        <v>65</v>
      </c>
      <c r="N146" s="225">
        <v>0.2</v>
      </c>
      <c r="O146" s="213">
        <v>0</v>
      </c>
      <c r="P146" s="213">
        <v>0</v>
      </c>
      <c r="Q146" s="220">
        <v>0</v>
      </c>
      <c r="R146" s="220">
        <v>0</v>
      </c>
      <c r="S146" s="220">
        <v>0</v>
      </c>
    </row>
    <row r="147" spans="1:19">
      <c r="A147" s="211">
        <v>-13</v>
      </c>
      <c r="B147" s="212">
        <v>-6</v>
      </c>
      <c r="C147" s="213">
        <v>0</v>
      </c>
      <c r="D147" s="213">
        <v>0</v>
      </c>
      <c r="E147" s="213">
        <v>0</v>
      </c>
      <c r="F147" s="213">
        <v>0</v>
      </c>
      <c r="G147" s="221">
        <v>0</v>
      </c>
      <c r="H147" s="213">
        <v>0</v>
      </c>
      <c r="I147" s="223">
        <v>0</v>
      </c>
      <c r="J147" s="223">
        <v>0</v>
      </c>
      <c r="K147" s="221">
        <v>1</v>
      </c>
      <c r="L147" s="220">
        <f t="shared" si="3"/>
        <v>85</v>
      </c>
      <c r="M147" s="213">
        <v>65</v>
      </c>
      <c r="N147" s="225">
        <v>0.2</v>
      </c>
      <c r="O147" s="213">
        <v>0</v>
      </c>
      <c r="P147" s="213">
        <v>0</v>
      </c>
      <c r="Q147" s="220">
        <v>0</v>
      </c>
      <c r="R147" s="220">
        <v>0</v>
      </c>
      <c r="S147" s="220">
        <v>0</v>
      </c>
    </row>
    <row r="148" spans="1:19">
      <c r="A148" s="211">
        <v>-14</v>
      </c>
      <c r="B148" s="212">
        <v>-6</v>
      </c>
      <c r="C148" s="213">
        <v>0</v>
      </c>
      <c r="D148" s="213">
        <v>0</v>
      </c>
      <c r="E148" s="213">
        <v>0</v>
      </c>
      <c r="F148" s="213">
        <v>0</v>
      </c>
      <c r="G148" s="221">
        <v>0</v>
      </c>
      <c r="H148" s="213">
        <v>0</v>
      </c>
      <c r="I148" s="223">
        <v>0</v>
      </c>
      <c r="J148" s="223">
        <v>0</v>
      </c>
      <c r="K148" s="221">
        <v>1</v>
      </c>
      <c r="L148" s="220">
        <f t="shared" si="3"/>
        <v>85</v>
      </c>
      <c r="M148" s="213">
        <v>65</v>
      </c>
      <c r="N148" s="225">
        <v>0.2</v>
      </c>
      <c r="O148" s="213">
        <v>0</v>
      </c>
      <c r="P148" s="213">
        <v>0</v>
      </c>
      <c r="Q148" s="220">
        <v>0</v>
      </c>
      <c r="R148" s="220">
        <v>0</v>
      </c>
      <c r="S148" s="220">
        <v>0</v>
      </c>
    </row>
    <row r="149" spans="1:19">
      <c r="A149" s="211">
        <v>-15</v>
      </c>
      <c r="B149" s="212">
        <v>-6</v>
      </c>
      <c r="C149" s="213">
        <v>0</v>
      </c>
      <c r="D149" s="213">
        <v>0</v>
      </c>
      <c r="E149" s="213">
        <v>0</v>
      </c>
      <c r="F149" s="213">
        <v>0</v>
      </c>
      <c r="G149" s="221">
        <v>0</v>
      </c>
      <c r="H149" s="213">
        <v>0</v>
      </c>
      <c r="I149" s="223">
        <v>0</v>
      </c>
      <c r="J149" s="223">
        <v>0</v>
      </c>
      <c r="K149" s="221">
        <v>1</v>
      </c>
      <c r="L149" s="220">
        <f t="shared" si="3"/>
        <v>85</v>
      </c>
      <c r="M149" s="213">
        <v>65</v>
      </c>
      <c r="N149" s="225">
        <v>0.2</v>
      </c>
      <c r="O149" s="213">
        <v>0</v>
      </c>
      <c r="P149" s="213">
        <v>0</v>
      </c>
      <c r="Q149" s="220">
        <v>0</v>
      </c>
      <c r="R149" s="220">
        <v>0</v>
      </c>
      <c r="S149" s="220">
        <v>0</v>
      </c>
    </row>
    <row r="150" spans="1:19">
      <c r="A150" s="211">
        <v>-16</v>
      </c>
      <c r="B150" s="212">
        <v>-6</v>
      </c>
      <c r="C150" s="213">
        <v>0</v>
      </c>
      <c r="D150" s="213">
        <v>0</v>
      </c>
      <c r="E150" s="213">
        <v>0</v>
      </c>
      <c r="F150" s="213">
        <v>0</v>
      </c>
      <c r="G150" s="221">
        <v>0</v>
      </c>
      <c r="H150" s="213">
        <v>0</v>
      </c>
      <c r="I150" s="223">
        <v>0</v>
      </c>
      <c r="J150" s="223">
        <v>0</v>
      </c>
      <c r="K150" s="221">
        <v>1</v>
      </c>
      <c r="L150" s="220">
        <f t="shared" si="3"/>
        <v>85</v>
      </c>
      <c r="M150" s="213">
        <v>65</v>
      </c>
      <c r="N150" s="225">
        <v>0.2</v>
      </c>
      <c r="O150" s="213">
        <v>0</v>
      </c>
      <c r="P150" s="213">
        <v>0</v>
      </c>
      <c r="Q150" s="220">
        <v>0</v>
      </c>
      <c r="R150" s="220">
        <v>0</v>
      </c>
      <c r="S150" s="220">
        <v>0</v>
      </c>
    </row>
    <row r="151" spans="1:19">
      <c r="A151" s="211">
        <v>-17</v>
      </c>
      <c r="B151" s="212">
        <v>-6</v>
      </c>
      <c r="C151" s="213">
        <v>0</v>
      </c>
      <c r="D151" s="213">
        <v>0</v>
      </c>
      <c r="E151" s="213">
        <v>0</v>
      </c>
      <c r="F151" s="213">
        <v>0</v>
      </c>
      <c r="G151" s="221">
        <v>0</v>
      </c>
      <c r="H151" s="213">
        <v>0</v>
      </c>
      <c r="I151" s="223">
        <v>0</v>
      </c>
      <c r="J151" s="223">
        <v>0</v>
      </c>
      <c r="K151" s="221">
        <v>1</v>
      </c>
      <c r="L151" s="220">
        <f t="shared" si="3"/>
        <v>85</v>
      </c>
      <c r="M151" s="213">
        <v>65</v>
      </c>
      <c r="N151" s="225">
        <v>0.2</v>
      </c>
      <c r="O151" s="213">
        <v>0</v>
      </c>
      <c r="P151" s="213">
        <v>0</v>
      </c>
      <c r="Q151" s="220">
        <v>0</v>
      </c>
      <c r="R151" s="220">
        <v>0</v>
      </c>
      <c r="S151" s="220">
        <v>0</v>
      </c>
    </row>
    <row r="152" spans="1:19">
      <c r="A152" s="211">
        <v>-18</v>
      </c>
      <c r="B152" s="212">
        <v>-6</v>
      </c>
      <c r="C152" s="213">
        <v>0</v>
      </c>
      <c r="D152" s="213">
        <v>0</v>
      </c>
      <c r="E152" s="213">
        <v>0</v>
      </c>
      <c r="F152" s="213">
        <v>0</v>
      </c>
      <c r="G152" s="221">
        <v>0</v>
      </c>
      <c r="H152" s="213">
        <v>0</v>
      </c>
      <c r="I152" s="223">
        <v>0</v>
      </c>
      <c r="J152" s="223">
        <v>0</v>
      </c>
      <c r="K152" s="221">
        <v>1</v>
      </c>
      <c r="L152" s="220">
        <f t="shared" si="3"/>
        <v>85</v>
      </c>
      <c r="M152" s="213">
        <v>65</v>
      </c>
      <c r="N152" s="225">
        <v>0.2</v>
      </c>
      <c r="O152" s="213">
        <v>0</v>
      </c>
      <c r="P152" s="213">
        <v>0</v>
      </c>
      <c r="Q152" s="220">
        <v>0</v>
      </c>
      <c r="R152" s="220">
        <v>0</v>
      </c>
      <c r="S152" s="220">
        <v>0</v>
      </c>
    </row>
    <row r="153" spans="1:19">
      <c r="A153" s="211">
        <v>-19</v>
      </c>
      <c r="B153" s="212">
        <v>-6</v>
      </c>
      <c r="C153" s="213">
        <v>0</v>
      </c>
      <c r="D153" s="213">
        <v>0</v>
      </c>
      <c r="E153" s="213">
        <v>0</v>
      </c>
      <c r="F153" s="213">
        <v>0</v>
      </c>
      <c r="G153" s="221">
        <v>0</v>
      </c>
      <c r="H153" s="213">
        <v>0</v>
      </c>
      <c r="I153" s="223">
        <v>0</v>
      </c>
      <c r="J153" s="223">
        <v>0</v>
      </c>
      <c r="K153" s="221">
        <v>1</v>
      </c>
      <c r="L153" s="220">
        <f t="shared" si="3"/>
        <v>85</v>
      </c>
      <c r="M153" s="213">
        <v>65</v>
      </c>
      <c r="N153" s="225">
        <v>0.2</v>
      </c>
      <c r="O153" s="213">
        <v>0</v>
      </c>
      <c r="P153" s="213">
        <v>0</v>
      </c>
      <c r="Q153" s="220">
        <v>0</v>
      </c>
      <c r="R153" s="220">
        <v>0</v>
      </c>
      <c r="S153" s="220">
        <v>0</v>
      </c>
    </row>
    <row r="154" spans="1:19">
      <c r="A154" s="211">
        <v>-20</v>
      </c>
      <c r="B154" s="212">
        <v>-6</v>
      </c>
      <c r="C154" s="213">
        <v>0</v>
      </c>
      <c r="D154" s="213">
        <v>0</v>
      </c>
      <c r="E154" s="213">
        <v>0</v>
      </c>
      <c r="F154" s="213">
        <v>0</v>
      </c>
      <c r="G154" s="221">
        <v>0</v>
      </c>
      <c r="H154" s="213">
        <v>0</v>
      </c>
      <c r="I154" s="223">
        <v>0</v>
      </c>
      <c r="J154" s="223">
        <v>0</v>
      </c>
      <c r="K154" s="221">
        <v>1</v>
      </c>
      <c r="L154" s="220">
        <f t="shared" si="3"/>
        <v>85</v>
      </c>
      <c r="M154" s="213">
        <v>65</v>
      </c>
      <c r="N154" s="225">
        <v>0.2</v>
      </c>
      <c r="O154" s="213">
        <v>0</v>
      </c>
      <c r="P154" s="213">
        <v>0</v>
      </c>
      <c r="Q154" s="220">
        <v>0</v>
      </c>
      <c r="R154" s="220">
        <v>0</v>
      </c>
      <c r="S154" s="220">
        <v>0</v>
      </c>
    </row>
    <row r="155" spans="1:19">
      <c r="A155" s="211">
        <v>-21</v>
      </c>
      <c r="B155" s="212">
        <v>-6</v>
      </c>
      <c r="C155" s="213">
        <v>0</v>
      </c>
      <c r="D155" s="213">
        <v>0</v>
      </c>
      <c r="E155" s="213">
        <v>0</v>
      </c>
      <c r="F155" s="213">
        <v>0</v>
      </c>
      <c r="G155" s="221">
        <v>0</v>
      </c>
      <c r="H155" s="213">
        <v>0</v>
      </c>
      <c r="I155" s="223">
        <v>0</v>
      </c>
      <c r="J155" s="223">
        <v>0</v>
      </c>
      <c r="K155" s="221">
        <v>1</v>
      </c>
      <c r="L155" s="220">
        <f t="shared" si="3"/>
        <v>85</v>
      </c>
      <c r="M155" s="213">
        <v>65</v>
      </c>
      <c r="N155" s="225">
        <v>0.2</v>
      </c>
      <c r="O155" s="213">
        <v>0</v>
      </c>
      <c r="P155" s="213">
        <v>0</v>
      </c>
      <c r="Q155" s="220">
        <v>0</v>
      </c>
      <c r="R155" s="220">
        <v>0</v>
      </c>
      <c r="S155" s="220">
        <v>0</v>
      </c>
    </row>
    <row r="156" spans="1:19">
      <c r="A156" s="226">
        <v>-22</v>
      </c>
      <c r="B156" s="220">
        <v>-6</v>
      </c>
      <c r="C156" s="213">
        <v>0</v>
      </c>
      <c r="D156" s="213">
        <v>0</v>
      </c>
      <c r="E156" s="213">
        <v>0</v>
      </c>
      <c r="F156" s="213">
        <v>0</v>
      </c>
      <c r="G156" s="221">
        <v>0</v>
      </c>
      <c r="H156" s="213">
        <v>0</v>
      </c>
      <c r="I156" s="223">
        <v>0</v>
      </c>
      <c r="J156" s="223">
        <v>0</v>
      </c>
      <c r="K156" s="221">
        <v>1</v>
      </c>
      <c r="L156" s="220">
        <f t="shared" si="3"/>
        <v>85</v>
      </c>
      <c r="M156" s="213">
        <v>65</v>
      </c>
      <c r="N156" s="225">
        <v>0.2</v>
      </c>
      <c r="O156" s="213">
        <v>0</v>
      </c>
      <c r="P156" s="213">
        <v>0</v>
      </c>
      <c r="Q156" s="220">
        <v>0</v>
      </c>
      <c r="R156" s="220">
        <v>0</v>
      </c>
      <c r="S156" s="220">
        <v>0</v>
      </c>
    </row>
    <row r="157" spans="1:19">
      <c r="A157" s="227" t="s">
        <v>364</v>
      </c>
      <c r="B157" s="228" t="s">
        <v>150</v>
      </c>
      <c r="C157" s="228">
        <v>8760</v>
      </c>
      <c r="D157" s="228">
        <v>3984</v>
      </c>
      <c r="E157" s="228">
        <v>124</v>
      </c>
      <c r="F157" s="228">
        <v>368</v>
      </c>
      <c r="G157" s="228" t="s">
        <v>150</v>
      </c>
      <c r="H157" s="228">
        <v>755</v>
      </c>
      <c r="I157" s="228">
        <v>372</v>
      </c>
      <c r="J157" s="228" t="s">
        <v>150</v>
      </c>
      <c r="K157" s="228" t="s">
        <v>150</v>
      </c>
      <c r="L157" s="228" t="s">
        <v>150</v>
      </c>
      <c r="M157" s="228" t="s">
        <v>150</v>
      </c>
      <c r="N157" s="228" t="s">
        <v>150</v>
      </c>
      <c r="O157" s="228" t="s">
        <v>150</v>
      </c>
      <c r="P157" s="228" t="s">
        <v>150</v>
      </c>
      <c r="Q157" s="228" t="s">
        <v>150</v>
      </c>
      <c r="R157" s="228">
        <v>46</v>
      </c>
      <c r="S157" s="228">
        <v>23</v>
      </c>
    </row>
  </sheetData>
  <sheetProtection algorithmName="SHA-512" hashValue="kDY7/xZzxO7ZXTWv2GKat0et27IOWnpExiycx7gq3pHduNRJ14MX8+IDljUBM8LNIh8xw5QKvRziu8gVJOR9eA==" saltValue="vXkhq2BgTWUgjGvb4Mo6Pw==" spinCount="100000" sheet="1" objects="1" scenarios="1"/>
  <mergeCells count="3">
    <mergeCell ref="G32:S32"/>
    <mergeCell ref="C1:M1"/>
    <mergeCell ref="C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7E656-548C-41AE-AB4F-CA47E34E2B50}">
  <sheetPr codeName="Sheet12">
    <tabColor theme="7" tint="0.39997558519241921"/>
  </sheetPr>
  <dimension ref="A1:CF41"/>
  <sheetViews>
    <sheetView zoomScaleNormal="100" workbookViewId="0">
      <pane ySplit="7" topLeftCell="A8" activePane="bottomLeft" state="frozen"/>
      <selection pane="bottomLeft" activeCell="D46" sqref="D46"/>
    </sheetView>
  </sheetViews>
  <sheetFormatPr defaultColWidth="9.140625" defaultRowHeight="14.45"/>
  <cols>
    <col min="1" max="1" width="24.28515625" customWidth="1"/>
    <col min="2" max="2" width="41.5703125" customWidth="1"/>
    <col min="3" max="3" width="56.85546875" customWidth="1"/>
    <col min="4" max="4" width="82.42578125" customWidth="1"/>
    <col min="5" max="5" width="17.85546875" customWidth="1"/>
    <col min="6" max="6" width="38.42578125" style="951" customWidth="1"/>
  </cols>
  <sheetData>
    <row r="1" spans="1:84" s="387" customFormat="1">
      <c r="A1" s="386" t="s">
        <v>62</v>
      </c>
      <c r="D1" s="281"/>
      <c r="E1" s="281"/>
      <c r="F1" s="951"/>
    </row>
    <row r="2" spans="1:84" s="387" customFormat="1">
      <c r="A2" s="388" t="s">
        <v>63</v>
      </c>
      <c r="B2" s="388" t="s">
        <v>64</v>
      </c>
      <c r="C2" s="281"/>
      <c r="D2" s="281"/>
      <c r="E2" s="281"/>
      <c r="F2" s="463"/>
      <c r="G2" s="281"/>
      <c r="H2" s="281"/>
      <c r="I2" s="281"/>
    </row>
    <row r="3" spans="1:84" s="387" customFormat="1">
      <c r="A3" s="388" t="s">
        <v>65</v>
      </c>
      <c r="B3" s="1065">
        <v>45404</v>
      </c>
      <c r="C3" s="281"/>
      <c r="D3" s="281"/>
      <c r="E3" s="281"/>
      <c r="F3" s="463"/>
      <c r="G3" s="281"/>
      <c r="H3" s="281"/>
      <c r="I3" s="281"/>
    </row>
    <row r="4" spans="1:84" s="387" customFormat="1" ht="29.1">
      <c r="A4" s="388" t="s">
        <v>66</v>
      </c>
      <c r="B4" s="1036" t="s">
        <v>67</v>
      </c>
      <c r="C4" s="281"/>
      <c r="D4" s="281"/>
      <c r="E4" s="281"/>
      <c r="F4" s="463"/>
      <c r="G4" s="281"/>
      <c r="H4" s="281"/>
      <c r="I4" s="281"/>
    </row>
    <row r="5" spans="1:84" s="387" customFormat="1">
      <c r="A5" s="281"/>
      <c r="C5" s="281"/>
      <c r="D5" s="281"/>
      <c r="E5" s="281"/>
      <c r="F5" s="463"/>
      <c r="G5" s="281"/>
      <c r="H5" s="281"/>
      <c r="I5" s="281"/>
    </row>
    <row r="6" spans="1:84" s="387" customFormat="1">
      <c r="A6" s="281"/>
      <c r="C6" s="281"/>
      <c r="D6" s="281"/>
      <c r="E6" s="281"/>
      <c r="F6" s="463"/>
      <c r="G6" s="281"/>
      <c r="H6" s="281"/>
      <c r="I6" s="281"/>
    </row>
    <row r="7" spans="1:84" s="389" customFormat="1" ht="21.95" customHeight="1">
      <c r="A7" s="389" t="s">
        <v>68</v>
      </c>
      <c r="B7" s="389" t="s">
        <v>69</v>
      </c>
      <c r="C7" s="390" t="s">
        <v>70</v>
      </c>
      <c r="D7" s="390" t="s">
        <v>71</v>
      </c>
      <c r="E7" s="390" t="s">
        <v>72</v>
      </c>
      <c r="F7" s="952"/>
      <c r="G7" s="390"/>
      <c r="H7" s="390"/>
      <c r="I7" s="390"/>
    </row>
    <row r="8" spans="1:84" s="391" customFormat="1" ht="159.94999999999999" customHeight="1">
      <c r="A8" s="392" t="s">
        <v>73</v>
      </c>
      <c r="B8" s="1269" t="s">
        <v>74</v>
      </c>
      <c r="C8" s="394" t="s">
        <v>75</v>
      </c>
      <c r="D8" s="396" t="s">
        <v>76</v>
      </c>
      <c r="E8" s="950">
        <v>45362</v>
      </c>
      <c r="F8" s="1033"/>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row>
    <row r="9" spans="1:84" s="391" customFormat="1" ht="311.10000000000002" customHeight="1">
      <c r="A9" s="392" t="s">
        <v>73</v>
      </c>
      <c r="B9" s="1001" t="s">
        <v>77</v>
      </c>
      <c r="C9" s="395" t="s">
        <v>78</v>
      </c>
      <c r="D9" s="396" t="s">
        <v>79</v>
      </c>
      <c r="E9" s="950">
        <v>45362</v>
      </c>
      <c r="F9" s="951"/>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row>
    <row r="10" spans="1:84" s="391" customFormat="1" ht="192" customHeight="1">
      <c r="A10" s="392" t="s">
        <v>73</v>
      </c>
      <c r="B10" s="1270" t="s">
        <v>80</v>
      </c>
      <c r="C10" s="393" t="s">
        <v>81</v>
      </c>
      <c r="D10" s="396" t="s">
        <v>82</v>
      </c>
      <c r="E10" s="999">
        <v>45362</v>
      </c>
      <c r="F10" s="1034"/>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row>
    <row r="11" spans="1:84" s="391" customFormat="1" ht="210.95" customHeight="1">
      <c r="A11" s="392" t="s">
        <v>73</v>
      </c>
      <c r="B11" s="1270" t="s">
        <v>83</v>
      </c>
      <c r="C11" s="393" t="s">
        <v>84</v>
      </c>
      <c r="D11" s="396" t="s">
        <v>85</v>
      </c>
      <c r="E11" s="950">
        <v>45351</v>
      </c>
      <c r="F11" s="951"/>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row>
    <row r="12" spans="1:84" s="391" customFormat="1" ht="227.1" customHeight="1">
      <c r="A12" s="392" t="s">
        <v>73</v>
      </c>
      <c r="B12" s="1270" t="s">
        <v>86</v>
      </c>
      <c r="C12" s="393" t="s">
        <v>87</v>
      </c>
      <c r="D12" s="1266" t="s">
        <v>88</v>
      </c>
      <c r="E12" s="950">
        <v>45362</v>
      </c>
      <c r="F12" s="951"/>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row>
    <row r="13" spans="1:84" s="391" customFormat="1" ht="255.95" customHeight="1">
      <c r="A13" s="392" t="s">
        <v>73</v>
      </c>
      <c r="B13" s="1270" t="s">
        <v>89</v>
      </c>
      <c r="C13" s="393" t="s">
        <v>90</v>
      </c>
      <c r="D13" s="396" t="s">
        <v>91</v>
      </c>
      <c r="E13" s="950">
        <v>45362</v>
      </c>
      <c r="F13" s="951"/>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row>
    <row r="14" spans="1:84" s="391" customFormat="1" ht="158.1" customHeight="1">
      <c r="A14" s="1000" t="s">
        <v>73</v>
      </c>
      <c r="B14" s="1271" t="s">
        <v>23</v>
      </c>
      <c r="C14" s="393" t="s">
        <v>92</v>
      </c>
      <c r="D14" s="393" t="s">
        <v>93</v>
      </c>
      <c r="E14" s="950">
        <v>45362</v>
      </c>
      <c r="F14" s="951"/>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row>
    <row r="15" spans="1:84" s="391" customFormat="1" ht="176.45" customHeight="1">
      <c r="A15" s="392" t="s">
        <v>73</v>
      </c>
      <c r="B15" s="1001" t="s">
        <v>94</v>
      </c>
      <c r="C15" s="393" t="s">
        <v>95</v>
      </c>
      <c r="D15" s="396" t="s">
        <v>96</v>
      </c>
      <c r="E15" s="950">
        <v>45362</v>
      </c>
      <c r="F15" s="951"/>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row>
    <row r="16" spans="1:84" s="391" customFormat="1" ht="158.1" customHeight="1">
      <c r="A16" s="392" t="s">
        <v>73</v>
      </c>
      <c r="B16" s="1001" t="s">
        <v>97</v>
      </c>
      <c r="C16" s="393" t="s">
        <v>98</v>
      </c>
      <c r="D16" s="396" t="s">
        <v>99</v>
      </c>
      <c r="E16" s="999">
        <v>45362</v>
      </c>
      <c r="F16" s="1035"/>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row>
    <row r="17" spans="1:84" s="391" customFormat="1" ht="33.950000000000003" customHeight="1">
      <c r="A17" s="399" t="s">
        <v>100</v>
      </c>
      <c r="B17" s="1006" t="s">
        <v>80</v>
      </c>
      <c r="C17" s="397" t="s">
        <v>101</v>
      </c>
      <c r="D17" s="1268" t="s">
        <v>102</v>
      </c>
      <c r="E17" s="953">
        <v>45362</v>
      </c>
      <c r="F17" s="951"/>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row>
    <row r="18" spans="1:84" s="391" customFormat="1" ht="33.950000000000003" customHeight="1">
      <c r="A18" s="399" t="s">
        <v>100</v>
      </c>
      <c r="B18" s="1006" t="s">
        <v>83</v>
      </c>
      <c r="C18" s="397" t="s">
        <v>103</v>
      </c>
      <c r="D18" s="1268" t="s">
        <v>104</v>
      </c>
      <c r="E18" s="953">
        <v>45362</v>
      </c>
      <c r="F18" s="951"/>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row>
    <row r="19" spans="1:84" s="391" customFormat="1" ht="33.950000000000003" customHeight="1">
      <c r="A19" s="399" t="s">
        <v>100</v>
      </c>
      <c r="B19" s="1006" t="s">
        <v>86</v>
      </c>
      <c r="C19" s="397" t="s">
        <v>105</v>
      </c>
      <c r="D19" s="1268" t="s">
        <v>106</v>
      </c>
      <c r="E19" s="953">
        <v>45362</v>
      </c>
      <c r="F19" s="951"/>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c r="BN19" s="387"/>
      <c r="BO19" s="387"/>
      <c r="BP19" s="387"/>
      <c r="BQ19" s="387"/>
      <c r="BR19" s="387"/>
      <c r="BS19" s="387"/>
      <c r="BT19" s="387"/>
      <c r="BU19" s="387"/>
      <c r="BV19" s="387"/>
      <c r="BW19" s="387"/>
      <c r="BX19" s="387"/>
      <c r="BY19" s="387"/>
      <c r="BZ19" s="387"/>
      <c r="CA19" s="387"/>
      <c r="CB19" s="387"/>
      <c r="CC19" s="387"/>
      <c r="CD19" s="387"/>
      <c r="CE19" s="387"/>
      <c r="CF19" s="387"/>
    </row>
    <row r="20" spans="1:84" s="391" customFormat="1" ht="188.45" customHeight="1">
      <c r="A20" s="399" t="s">
        <v>100</v>
      </c>
      <c r="B20" s="1267" t="s">
        <v>107</v>
      </c>
      <c r="C20" s="397" t="s">
        <v>108</v>
      </c>
      <c r="D20" s="398"/>
      <c r="E20" s="953">
        <v>45362</v>
      </c>
      <c r="F20" s="951"/>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387"/>
      <c r="BE20" s="387"/>
      <c r="BF20" s="387"/>
      <c r="BG20" s="387"/>
      <c r="BH20" s="387"/>
      <c r="BI20" s="387"/>
      <c r="BJ20" s="387"/>
      <c r="BK20" s="387"/>
      <c r="BL20" s="387"/>
      <c r="BM20" s="387"/>
      <c r="BN20" s="387"/>
      <c r="BO20" s="387"/>
      <c r="BP20" s="387"/>
      <c r="BQ20" s="387"/>
      <c r="BR20" s="387"/>
      <c r="BS20" s="387"/>
      <c r="BT20" s="387"/>
      <c r="BU20" s="387"/>
      <c r="BV20" s="387"/>
      <c r="BW20" s="387"/>
      <c r="BX20" s="387"/>
      <c r="BY20" s="387"/>
      <c r="BZ20" s="387"/>
      <c r="CA20" s="387"/>
      <c r="CB20" s="387"/>
      <c r="CC20" s="387"/>
      <c r="CD20" s="387"/>
      <c r="CE20" s="387"/>
      <c r="CF20" s="387"/>
    </row>
    <row r="21" spans="1:84" s="391" customFormat="1" ht="91.5" customHeight="1">
      <c r="A21" s="399" t="s">
        <v>100</v>
      </c>
      <c r="B21" s="1006" t="s">
        <v>109</v>
      </c>
      <c r="C21" s="397" t="s">
        <v>110</v>
      </c>
      <c r="D21" s="398" t="s">
        <v>111</v>
      </c>
      <c r="E21" s="953">
        <v>45362</v>
      </c>
      <c r="F21" s="951"/>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row>
    <row r="22" spans="1:84" s="391" customFormat="1" ht="91.5" customHeight="1">
      <c r="A22" s="399" t="s">
        <v>100</v>
      </c>
      <c r="B22" s="1006" t="s">
        <v>112</v>
      </c>
      <c r="C22" s="397" t="s">
        <v>113</v>
      </c>
      <c r="D22" s="398" t="s">
        <v>114</v>
      </c>
      <c r="E22" s="1002"/>
      <c r="F22" s="951"/>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c r="CC22" s="387"/>
      <c r="CD22" s="387"/>
      <c r="CE22" s="387"/>
      <c r="CF22" s="387"/>
    </row>
    <row r="23" spans="1:84" s="391" customFormat="1" ht="141" customHeight="1">
      <c r="A23" s="399" t="s">
        <v>100</v>
      </c>
      <c r="B23" s="1267" t="s">
        <v>115</v>
      </c>
      <c r="C23" s="397" t="s">
        <v>116</v>
      </c>
      <c r="D23" s="398" t="s">
        <v>117</v>
      </c>
      <c r="E23" s="1002">
        <v>45362</v>
      </c>
      <c r="F23" s="1034"/>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c r="CC23" s="387"/>
      <c r="CD23" s="387"/>
      <c r="CE23" s="387"/>
      <c r="CF23" s="387"/>
    </row>
    <row r="24" spans="1:84" s="391" customFormat="1" ht="65.099999999999994" customHeight="1">
      <c r="A24" s="399" t="s">
        <v>100</v>
      </c>
      <c r="B24" s="1267" t="s">
        <v>118</v>
      </c>
      <c r="C24" s="397" t="s">
        <v>119</v>
      </c>
      <c r="D24" s="398" t="s">
        <v>120</v>
      </c>
      <c r="E24" s="953">
        <v>45362</v>
      </c>
      <c r="F24" s="951"/>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387"/>
      <c r="BM24" s="387"/>
      <c r="BN24" s="387"/>
      <c r="BO24" s="387"/>
      <c r="BP24" s="387"/>
      <c r="BQ24" s="387"/>
      <c r="BR24" s="387"/>
      <c r="BS24" s="387"/>
      <c r="BT24" s="387"/>
      <c r="BU24" s="387"/>
      <c r="BV24" s="387"/>
      <c r="BW24" s="387"/>
      <c r="BX24" s="387"/>
      <c r="BY24" s="387"/>
      <c r="BZ24" s="387"/>
      <c r="CA24" s="387"/>
      <c r="CB24" s="387"/>
      <c r="CC24" s="387"/>
      <c r="CD24" s="387"/>
      <c r="CE24" s="387"/>
      <c r="CF24" s="387"/>
    </row>
    <row r="25" spans="1:84" s="391" customFormat="1" ht="96.95" customHeight="1">
      <c r="A25" s="399" t="s">
        <v>100</v>
      </c>
      <c r="B25" s="1006" t="s">
        <v>121</v>
      </c>
      <c r="C25" s="397" t="s">
        <v>122</v>
      </c>
      <c r="D25" s="398" t="s">
        <v>123</v>
      </c>
      <c r="E25" s="953">
        <v>45362</v>
      </c>
      <c r="F25" s="951"/>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387"/>
      <c r="BM25" s="387"/>
      <c r="BN25" s="387"/>
      <c r="BO25" s="387"/>
      <c r="BP25" s="387"/>
      <c r="BQ25" s="387"/>
      <c r="BR25" s="387"/>
      <c r="BS25" s="387"/>
      <c r="BT25" s="387"/>
      <c r="BU25" s="387"/>
      <c r="BV25" s="387"/>
      <c r="BW25" s="387"/>
      <c r="BX25" s="387"/>
      <c r="BY25" s="387"/>
      <c r="BZ25" s="387"/>
      <c r="CA25" s="387"/>
      <c r="CB25" s="387"/>
      <c r="CC25" s="387"/>
      <c r="CD25" s="387"/>
      <c r="CE25" s="387"/>
      <c r="CF25" s="387"/>
    </row>
    <row r="26" spans="1:84" s="391" customFormat="1" ht="298.5" customHeight="1">
      <c r="A26" s="401" t="s">
        <v>124</v>
      </c>
      <c r="B26" s="1003" t="s">
        <v>125</v>
      </c>
      <c r="C26" s="417" t="s">
        <v>126</v>
      </c>
      <c r="D26" s="418" t="s">
        <v>127</v>
      </c>
      <c r="E26" s="1004">
        <v>45362</v>
      </c>
      <c r="F26" s="951"/>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row>
    <row r="27" spans="1:84" s="391" customFormat="1" ht="249.95" customHeight="1">
      <c r="A27" s="401" t="s">
        <v>124</v>
      </c>
      <c r="B27" s="1272" t="s">
        <v>128</v>
      </c>
      <c r="C27" s="417" t="s">
        <v>129</v>
      </c>
      <c r="D27" s="418" t="s">
        <v>130</v>
      </c>
      <c r="E27" s="1004">
        <v>45362</v>
      </c>
      <c r="F27" s="951"/>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87"/>
      <c r="BE27" s="387"/>
      <c r="BF27" s="387"/>
      <c r="BG27" s="387"/>
      <c r="BH27" s="387"/>
      <c r="BI27" s="387"/>
      <c r="BJ27" s="387"/>
      <c r="BK27" s="387"/>
      <c r="BL27" s="387"/>
      <c r="BM27" s="387"/>
      <c r="BN27" s="387"/>
      <c r="BO27" s="387"/>
      <c r="BP27" s="387"/>
      <c r="BQ27" s="387"/>
      <c r="BR27" s="387"/>
      <c r="BS27" s="387"/>
      <c r="BT27" s="387"/>
      <c r="BU27" s="387"/>
      <c r="BV27" s="387"/>
      <c r="BW27" s="387"/>
      <c r="BX27" s="387"/>
      <c r="BY27" s="387"/>
      <c r="BZ27" s="387"/>
      <c r="CA27" s="387"/>
      <c r="CB27" s="387"/>
      <c r="CC27" s="387"/>
      <c r="CD27" s="387"/>
      <c r="CE27" s="387"/>
      <c r="CF27" s="387"/>
    </row>
    <row r="28" spans="1:84" s="391" customFormat="1" ht="165" customHeight="1">
      <c r="A28" s="401" t="s">
        <v>124</v>
      </c>
      <c r="B28" s="1272" t="s">
        <v>131</v>
      </c>
      <c r="C28" s="417" t="s">
        <v>132</v>
      </c>
      <c r="D28" s="400"/>
      <c r="E28" s="1005">
        <v>45005</v>
      </c>
      <c r="F28" s="951"/>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row>
    <row r="29" spans="1:84" s="391" customFormat="1" ht="93" customHeight="1">
      <c r="A29" s="401" t="s">
        <v>124</v>
      </c>
      <c r="B29" s="1272" t="s">
        <v>133</v>
      </c>
      <c r="C29" s="417" t="s">
        <v>134</v>
      </c>
      <c r="D29" s="418" t="s">
        <v>135</v>
      </c>
      <c r="E29" s="1004">
        <v>45362</v>
      </c>
      <c r="F29" s="951"/>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row>
    <row r="30" spans="1:84" s="391" customFormat="1" ht="90.95" customHeight="1">
      <c r="A30" s="401" t="s">
        <v>124</v>
      </c>
      <c r="B30" s="1272" t="s">
        <v>136</v>
      </c>
      <c r="C30" s="417" t="s">
        <v>137</v>
      </c>
      <c r="D30" s="418" t="s">
        <v>138</v>
      </c>
      <c r="E30" s="1005">
        <v>45362</v>
      </c>
      <c r="F30" s="951"/>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7"/>
      <c r="BL30" s="387"/>
      <c r="BM30" s="387"/>
      <c r="BN30" s="387"/>
      <c r="BO30" s="387"/>
      <c r="BP30" s="387"/>
      <c r="BQ30" s="387"/>
      <c r="BR30" s="387"/>
      <c r="BS30" s="387"/>
      <c r="BT30" s="387"/>
      <c r="BU30" s="387"/>
      <c r="BV30" s="387"/>
      <c r="BW30" s="387"/>
      <c r="BX30" s="387"/>
      <c r="BY30" s="387"/>
      <c r="BZ30" s="387"/>
      <c r="CA30" s="387"/>
      <c r="CB30" s="387"/>
      <c r="CC30" s="387"/>
      <c r="CD30" s="387"/>
      <c r="CE30" s="387"/>
      <c r="CF30" s="387"/>
    </row>
    <row r="31" spans="1:84" s="391" customFormat="1" ht="210" customHeight="1">
      <c r="A31" s="401" t="s">
        <v>124</v>
      </c>
      <c r="B31" s="1003" t="s">
        <v>139</v>
      </c>
      <c r="C31" s="417" t="s">
        <v>140</v>
      </c>
      <c r="D31" s="418" t="s">
        <v>141</v>
      </c>
      <c r="E31" s="1005">
        <v>45005</v>
      </c>
      <c r="F31" s="951"/>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c r="BN31" s="387"/>
      <c r="BO31" s="387"/>
      <c r="BP31" s="387"/>
      <c r="BQ31" s="387"/>
      <c r="BR31" s="387"/>
      <c r="BS31" s="387"/>
      <c r="BT31" s="387"/>
      <c r="BU31" s="387"/>
      <c r="BV31" s="387"/>
      <c r="BW31" s="387"/>
      <c r="BX31" s="387"/>
      <c r="BY31" s="387"/>
      <c r="BZ31" s="387"/>
      <c r="CA31" s="387"/>
      <c r="CB31" s="387"/>
      <c r="CC31" s="387"/>
      <c r="CD31" s="387"/>
      <c r="CE31" s="387"/>
      <c r="CF31" s="387"/>
    </row>
    <row r="32" spans="1:84" s="391" customFormat="1" ht="68.45" customHeight="1">
      <c r="A32" s="401" t="s">
        <v>124</v>
      </c>
      <c r="B32" s="1272" t="s">
        <v>142</v>
      </c>
      <c r="C32" s="417" t="s">
        <v>143</v>
      </c>
      <c r="D32" s="418" t="s">
        <v>144</v>
      </c>
      <c r="E32" s="1005">
        <v>45005</v>
      </c>
      <c r="F32" s="951"/>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87"/>
      <c r="BM32" s="387"/>
      <c r="BN32" s="387"/>
      <c r="BO32" s="387"/>
      <c r="BP32" s="387"/>
      <c r="BQ32" s="387"/>
      <c r="BR32" s="387"/>
      <c r="BS32" s="387"/>
      <c r="BT32" s="387"/>
      <c r="BU32" s="387"/>
      <c r="BV32" s="387"/>
      <c r="BW32" s="387"/>
      <c r="BX32" s="387"/>
      <c r="BY32" s="387"/>
      <c r="BZ32" s="387"/>
      <c r="CA32" s="387"/>
      <c r="CB32" s="387"/>
      <c r="CC32" s="387"/>
      <c r="CD32" s="387"/>
      <c r="CE32" s="387"/>
      <c r="CF32" s="387"/>
    </row>
    <row r="33" spans="1:84" s="391" customFormat="1" ht="62.45">
      <c r="A33" s="401" t="s">
        <v>124</v>
      </c>
      <c r="B33" s="1272" t="s">
        <v>145</v>
      </c>
      <c r="C33" s="417" t="s">
        <v>146</v>
      </c>
      <c r="D33" s="418" t="s">
        <v>147</v>
      </c>
      <c r="E33" s="1005">
        <v>45005</v>
      </c>
      <c r="F33" s="951"/>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7"/>
      <c r="CF33" s="387"/>
    </row>
    <row r="34" spans="1:84" s="391" customFormat="1" ht="54.95" customHeight="1">
      <c r="A34" s="401" t="s">
        <v>124</v>
      </c>
      <c r="B34" s="1272" t="s">
        <v>148</v>
      </c>
      <c r="C34" s="417" t="s">
        <v>149</v>
      </c>
      <c r="D34" s="418" t="s">
        <v>150</v>
      </c>
      <c r="E34" s="1005">
        <v>45005</v>
      </c>
      <c r="F34" s="951"/>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row>
    <row r="35" spans="1:84" s="391" customFormat="1" ht="51" customHeight="1">
      <c r="A35" s="401" t="s">
        <v>124</v>
      </c>
      <c r="B35" s="1272" t="s">
        <v>151</v>
      </c>
      <c r="C35" s="417" t="s">
        <v>152</v>
      </c>
      <c r="D35" s="418" t="s">
        <v>153</v>
      </c>
      <c r="E35" s="1005">
        <v>45005</v>
      </c>
      <c r="F35" s="951"/>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c r="BN35" s="387"/>
      <c r="BO35" s="387"/>
      <c r="BP35" s="387"/>
      <c r="BQ35" s="387"/>
      <c r="BR35" s="387"/>
      <c r="BS35" s="387"/>
      <c r="BT35" s="387"/>
      <c r="BU35" s="387"/>
      <c r="BV35" s="387"/>
      <c r="BW35" s="387"/>
      <c r="BX35" s="387"/>
      <c r="BY35" s="387"/>
      <c r="BZ35" s="387"/>
      <c r="CA35" s="387"/>
      <c r="CB35" s="387"/>
      <c r="CC35" s="387"/>
      <c r="CD35" s="387"/>
      <c r="CE35" s="387"/>
      <c r="CF35" s="387"/>
    </row>
    <row r="36" spans="1:84" s="391" customFormat="1" ht="75" customHeight="1">
      <c r="A36" s="401" t="s">
        <v>124</v>
      </c>
      <c r="B36" s="1272" t="s">
        <v>154</v>
      </c>
      <c r="C36" s="417" t="s">
        <v>155</v>
      </c>
      <c r="D36" s="400"/>
      <c r="E36" s="1005">
        <v>45005</v>
      </c>
      <c r="F36" s="951"/>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row>
    <row r="37" spans="1:84" s="391" customFormat="1" ht="51.95" customHeight="1">
      <c r="A37" s="401" t="s">
        <v>124</v>
      </c>
      <c r="B37" s="1272" t="s">
        <v>156</v>
      </c>
      <c r="C37" s="417" t="s">
        <v>157</v>
      </c>
      <c r="D37" s="400"/>
      <c r="E37" s="1005">
        <v>45005</v>
      </c>
      <c r="F37" s="951"/>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row>
    <row r="38" spans="1:84" s="391" customFormat="1" ht="78.95" customHeight="1">
      <c r="A38" s="401" t="s">
        <v>124</v>
      </c>
      <c r="B38" s="1272" t="s">
        <v>158</v>
      </c>
      <c r="C38" s="417" t="s">
        <v>159</v>
      </c>
      <c r="D38" s="400"/>
      <c r="E38" s="1005">
        <v>45005</v>
      </c>
      <c r="F38" s="951"/>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c r="BN38" s="387"/>
      <c r="BO38" s="387"/>
      <c r="BP38" s="387"/>
      <c r="BQ38" s="387"/>
      <c r="BR38" s="387"/>
      <c r="BS38" s="387"/>
      <c r="BT38" s="387"/>
      <c r="BU38" s="387"/>
      <c r="BV38" s="387"/>
      <c r="BW38" s="387"/>
      <c r="BX38" s="387"/>
      <c r="BY38" s="387"/>
      <c r="BZ38" s="387"/>
      <c r="CA38" s="387"/>
      <c r="CB38" s="387"/>
      <c r="CC38" s="387"/>
      <c r="CD38" s="387"/>
      <c r="CE38" s="387"/>
      <c r="CF38" s="387"/>
    </row>
    <row r="39" spans="1:84" s="391" customFormat="1" ht="62.1" customHeight="1">
      <c r="A39" s="401" t="s">
        <v>124</v>
      </c>
      <c r="B39" s="1272" t="s">
        <v>160</v>
      </c>
      <c r="C39" s="417" t="s">
        <v>161</v>
      </c>
      <c r="D39" s="400"/>
      <c r="E39" s="1005">
        <v>45362</v>
      </c>
      <c r="F39" s="951"/>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row>
    <row r="40" spans="1:84" s="391" customFormat="1" ht="81" customHeight="1">
      <c r="A40" s="401" t="s">
        <v>124</v>
      </c>
      <c r="B40" s="1272" t="s">
        <v>162</v>
      </c>
      <c r="C40" s="417" t="s">
        <v>163</v>
      </c>
      <c r="D40" s="400"/>
      <c r="E40" s="1005">
        <v>45005</v>
      </c>
      <c r="F40" s="951"/>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c r="BN40" s="387"/>
      <c r="BO40" s="387"/>
      <c r="BP40" s="387"/>
      <c r="BQ40" s="387"/>
      <c r="BR40" s="387"/>
      <c r="BS40" s="387"/>
      <c r="BT40" s="387"/>
      <c r="BU40" s="387"/>
      <c r="BV40" s="387"/>
      <c r="BW40" s="387"/>
      <c r="BX40" s="387"/>
      <c r="BY40" s="387"/>
      <c r="BZ40" s="387"/>
      <c r="CA40" s="387"/>
      <c r="CB40" s="387"/>
      <c r="CC40" s="387"/>
      <c r="CD40" s="387"/>
      <c r="CE40" s="387"/>
      <c r="CF40" s="387"/>
    </row>
    <row r="41" spans="1:84" s="391" customFormat="1" ht="74.099999999999994" customHeight="1">
      <c r="A41" s="401" t="s">
        <v>124</v>
      </c>
      <c r="B41" s="1272" t="s">
        <v>164</v>
      </c>
      <c r="C41" s="417" t="s">
        <v>165</v>
      </c>
      <c r="D41" s="422" t="s">
        <v>166</v>
      </c>
      <c r="E41" s="1005">
        <v>45005</v>
      </c>
      <c r="F41" s="951"/>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row>
  </sheetData>
  <sheetProtection algorithmName="SHA-512" hashValue="4FfxZXUkuVDAOaNVlSqkJ3M4ckoflk6Pk670kM04vB9iWel8WJ+WDTA+zJtdIaQellTOpOM79oRC0GFenHk1Eg==" saltValue="YQeyCw38Ai1OsbNJKAsK2Q==" spinCount="100000" sheet="1" formatCells="0" formatColumns="0" formatRows="0" autoFilter="0"/>
  <autoFilter ref="A7:D40" xr:uid="{D827E656-548C-41AE-AB4F-CA47E34E2B50}"/>
  <hyperlinks>
    <hyperlink ref="D41" r:id="rId1" location="Service" xr:uid="{B3FCCABE-0BDE-4895-9288-6F3A1666B82B}"/>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F3BF6-6E1D-4378-A724-C2044E3247DB}">
  <sheetPr codeName="Sheet16">
    <tabColor theme="9" tint="-0.249977111117893"/>
  </sheetPr>
  <dimension ref="A1:AE177"/>
  <sheetViews>
    <sheetView topLeftCell="A30" zoomScale="115" zoomScaleNormal="115" workbookViewId="0">
      <selection activeCell="J10" sqref="J10"/>
    </sheetView>
  </sheetViews>
  <sheetFormatPr defaultRowHeight="14.45"/>
  <cols>
    <col min="1" max="1" width="15.140625" customWidth="1"/>
    <col min="2" max="2" width="40.7109375" customWidth="1"/>
    <col min="3" max="3" width="10.140625" bestFit="1" customWidth="1"/>
    <col min="4" max="4" width="21.140625" customWidth="1"/>
    <col min="5" max="5" width="20.28515625" customWidth="1"/>
    <col min="8" max="8" width="13" customWidth="1"/>
    <col min="30" max="30" width="14.7109375" customWidth="1"/>
    <col min="31" max="31" width="12.85546875" customWidth="1"/>
  </cols>
  <sheetData>
    <row r="1" spans="1:13">
      <c r="A1" s="3" t="s">
        <v>791</v>
      </c>
      <c r="B1" s="3" t="s">
        <v>854</v>
      </c>
      <c r="C1" s="1851" t="s">
        <v>1265</v>
      </c>
      <c r="D1" s="1851"/>
      <c r="E1" s="1851"/>
      <c r="F1" s="1851"/>
      <c r="G1" s="1851"/>
      <c r="H1" s="1851"/>
      <c r="I1" s="1851"/>
      <c r="J1" s="1851"/>
      <c r="K1" s="1851"/>
      <c r="L1" s="1851"/>
      <c r="M1" s="1851"/>
    </row>
    <row r="2" spans="1:13" ht="89.1" customHeight="1">
      <c r="A2" s="21" t="s">
        <v>1266</v>
      </c>
      <c r="B2" s="113" t="s">
        <v>489</v>
      </c>
      <c r="C2" s="1850" t="s">
        <v>1445</v>
      </c>
      <c r="D2" s="1850"/>
      <c r="E2" s="1850"/>
      <c r="F2" s="1850"/>
      <c r="G2" s="1850"/>
      <c r="H2" s="1850"/>
      <c r="I2" s="1850"/>
      <c r="J2" s="1850"/>
      <c r="K2" s="1850"/>
      <c r="L2" s="1850"/>
      <c r="M2" s="1868"/>
    </row>
    <row r="3" spans="1:13">
      <c r="A3" s="21" t="s">
        <v>1268</v>
      </c>
      <c r="B3" s="113" t="s">
        <v>489</v>
      </c>
      <c r="C3" s="1850"/>
      <c r="D3" s="1850"/>
      <c r="E3" s="1850"/>
      <c r="F3" s="1850"/>
      <c r="G3" s="1850"/>
      <c r="H3" s="1850"/>
      <c r="I3" s="1850"/>
      <c r="J3" s="1850"/>
      <c r="K3" s="1850"/>
      <c r="L3" s="1850"/>
      <c r="M3" s="1868"/>
    </row>
    <row r="4" spans="1:13">
      <c r="A4" s="21" t="s">
        <v>1273</v>
      </c>
      <c r="B4" s="113" t="s">
        <v>421</v>
      </c>
      <c r="C4" s="1850"/>
      <c r="D4" s="1850"/>
      <c r="E4" s="1850"/>
      <c r="F4" s="1850"/>
      <c r="G4" s="1850"/>
      <c r="H4" s="1850"/>
      <c r="I4" s="1850"/>
      <c r="J4" s="1850"/>
      <c r="K4" s="1850"/>
      <c r="L4" s="1850"/>
      <c r="M4" s="1868"/>
    </row>
    <row r="5" spans="1:13">
      <c r="A5" s="28"/>
    </row>
    <row r="6" spans="1:13">
      <c r="A6" s="3" t="s">
        <v>1408</v>
      </c>
    </row>
    <row r="7" spans="1:13">
      <c r="A7" t="s">
        <v>1409</v>
      </c>
      <c r="B7" s="188" t="s">
        <v>1278</v>
      </c>
      <c r="C7" t="s">
        <v>1410</v>
      </c>
    </row>
    <row r="8" spans="1:13">
      <c r="A8" t="s">
        <v>1446</v>
      </c>
      <c r="B8" s="188" t="s">
        <v>1278</v>
      </c>
      <c r="C8" t="s">
        <v>1447</v>
      </c>
    </row>
    <row r="9" spans="1:13">
      <c r="A9" t="s">
        <v>1305</v>
      </c>
      <c r="B9" s="188" t="s">
        <v>1278</v>
      </c>
      <c r="C9" t="s">
        <v>1448</v>
      </c>
    </row>
    <row r="11" spans="1:13">
      <c r="A11" s="3" t="s">
        <v>1288</v>
      </c>
    </row>
    <row r="12" spans="1:13">
      <c r="A12" s="238" t="s">
        <v>770</v>
      </c>
      <c r="B12" s="239" t="s">
        <v>1449</v>
      </c>
      <c r="C12" s="301">
        <f>Assumptions!D28</f>
        <v>95</v>
      </c>
      <c r="D12" s="240"/>
      <c r="E12" s="231" t="s">
        <v>150</v>
      </c>
      <c r="F12" s="231" t="s">
        <v>150</v>
      </c>
      <c r="G12" s="231" t="s">
        <v>150</v>
      </c>
      <c r="H12" s="231" t="s">
        <v>150</v>
      </c>
      <c r="I12" s="231" t="s">
        <v>150</v>
      </c>
      <c r="J12" s="163"/>
      <c r="K12" s="163"/>
      <c r="L12" s="163"/>
    </row>
    <row r="13" spans="1:13" ht="29.1">
      <c r="A13" s="241"/>
      <c r="B13" s="242" t="s">
        <v>1413</v>
      </c>
      <c r="C13" s="299">
        <f>Assumptions!D27</f>
        <v>0.6</v>
      </c>
      <c r="D13" s="243" t="s">
        <v>1450</v>
      </c>
      <c r="E13" s="231"/>
      <c r="F13" s="300" t="s">
        <v>1451</v>
      </c>
      <c r="G13" s="231" t="s">
        <v>150</v>
      </c>
      <c r="H13" s="231" t="s">
        <v>150</v>
      </c>
      <c r="I13" s="231" t="s">
        <v>150</v>
      </c>
      <c r="J13" s="163"/>
      <c r="K13" s="163"/>
      <c r="L13" s="163"/>
    </row>
    <row r="14" spans="1:13">
      <c r="A14" s="241"/>
      <c r="B14" s="242" t="s">
        <v>1063</v>
      </c>
      <c r="C14" s="302">
        <f>Assumptions!D29</f>
        <v>0.01</v>
      </c>
      <c r="D14" s="243"/>
      <c r="E14" s="231" t="s">
        <v>150</v>
      </c>
      <c r="F14" s="231" t="s">
        <v>150</v>
      </c>
      <c r="G14" s="231" t="s">
        <v>150</v>
      </c>
      <c r="H14" s="231" t="s">
        <v>150</v>
      </c>
      <c r="I14" s="231" t="s">
        <v>150</v>
      </c>
      <c r="J14" s="163"/>
      <c r="K14" s="163"/>
      <c r="L14" s="163"/>
    </row>
    <row r="15" spans="1:13">
      <c r="A15" s="241"/>
      <c r="B15" s="242" t="s">
        <v>1064</v>
      </c>
      <c r="C15" s="303">
        <f>Assumptions!D30</f>
        <v>1.2</v>
      </c>
      <c r="D15" s="243" t="s">
        <v>150</v>
      </c>
      <c r="E15" s="231" t="s">
        <v>150</v>
      </c>
      <c r="F15" s="231" t="s">
        <v>150</v>
      </c>
      <c r="G15" s="231" t="s">
        <v>150</v>
      </c>
      <c r="H15" s="231" t="s">
        <v>150</v>
      </c>
      <c r="I15" s="231" t="s">
        <v>150</v>
      </c>
      <c r="J15" s="163"/>
      <c r="K15" s="163"/>
      <c r="L15" s="163"/>
    </row>
    <row r="16" spans="1:13" ht="43.5">
      <c r="A16" s="241"/>
      <c r="B16" s="242" t="s">
        <v>1065</v>
      </c>
      <c r="C16" s="299">
        <f>Assumptions!D31</f>
        <v>66</v>
      </c>
      <c r="D16" s="243" t="s">
        <v>1062</v>
      </c>
      <c r="E16" s="231"/>
      <c r="F16" s="231"/>
      <c r="G16" s="231"/>
      <c r="H16" s="231"/>
      <c r="I16" s="231"/>
    </row>
    <row r="17" spans="1:12" ht="43.5">
      <c r="A17" s="241"/>
      <c r="B17" s="242" t="s">
        <v>1067</v>
      </c>
      <c r="C17" s="299">
        <f>Assumptions!D32</f>
        <v>70</v>
      </c>
      <c r="D17" s="243" t="s">
        <v>1062</v>
      </c>
      <c r="E17" s="231"/>
      <c r="F17" s="231"/>
      <c r="G17" s="231"/>
      <c r="H17" s="231"/>
      <c r="I17" s="231"/>
    </row>
    <row r="18" spans="1:12" ht="29.1">
      <c r="A18" s="241"/>
      <c r="B18" s="242" t="s">
        <v>1068</v>
      </c>
      <c r="C18" s="299">
        <f>Assumptions!D33</f>
        <v>55</v>
      </c>
      <c r="D18" s="243" t="s">
        <v>1062</v>
      </c>
      <c r="E18" s="231"/>
      <c r="F18" s="231"/>
      <c r="G18" s="231"/>
      <c r="H18" s="231" t="s">
        <v>150</v>
      </c>
      <c r="I18" s="231" t="s">
        <v>150</v>
      </c>
    </row>
    <row r="19" spans="1:12" ht="29.1">
      <c r="A19" s="241"/>
      <c r="B19" s="242" t="s">
        <v>1069</v>
      </c>
      <c r="C19" s="299">
        <f>Assumptions!D34</f>
        <v>450</v>
      </c>
      <c r="D19" s="243" t="s">
        <v>1070</v>
      </c>
      <c r="E19" s="231"/>
      <c r="F19" s="231"/>
      <c r="G19" s="231"/>
      <c r="H19" s="231"/>
      <c r="I19" s="231"/>
    </row>
    <row r="20" spans="1:12">
      <c r="A20" s="241"/>
      <c r="B20" s="242" t="s">
        <v>1071</v>
      </c>
      <c r="C20" s="299">
        <f>Assumptions!D35</f>
        <v>55</v>
      </c>
      <c r="D20" s="243" t="s">
        <v>1062</v>
      </c>
      <c r="E20" s="231"/>
      <c r="F20" s="231"/>
      <c r="G20" s="231"/>
      <c r="H20" s="231"/>
      <c r="I20" s="231"/>
    </row>
    <row r="21" spans="1:12" ht="43.5">
      <c r="A21" s="241"/>
      <c r="B21" s="242" t="s">
        <v>1072</v>
      </c>
      <c r="C21" s="299">
        <f>Assumptions!D36</f>
        <v>60</v>
      </c>
      <c r="D21" s="243" t="s">
        <v>1062</v>
      </c>
      <c r="E21" s="231"/>
      <c r="F21" s="231"/>
      <c r="G21" s="231"/>
      <c r="H21" s="231"/>
      <c r="I21" s="231"/>
    </row>
    <row r="22" spans="1:12" ht="43.5">
      <c r="A22" s="241"/>
      <c r="B22" s="242" t="s">
        <v>1073</v>
      </c>
      <c r="C22" s="299">
        <f>Assumptions!D37</f>
        <v>38</v>
      </c>
      <c r="D22" s="243" t="s">
        <v>1062</v>
      </c>
      <c r="E22" s="231"/>
      <c r="F22" s="231"/>
      <c r="G22" s="231"/>
      <c r="H22" s="231"/>
      <c r="I22" s="231"/>
    </row>
    <row r="23" spans="1:12" ht="29.1">
      <c r="A23" s="244"/>
      <c r="B23" s="247" t="s">
        <v>1411</v>
      </c>
      <c r="C23" s="304">
        <f>Assumptions!D38</f>
        <v>1</v>
      </c>
      <c r="D23" s="246" t="s">
        <v>1075</v>
      </c>
      <c r="E23" s="197"/>
    </row>
    <row r="24" spans="1:12">
      <c r="A24" s="238" t="s">
        <v>565</v>
      </c>
      <c r="B24" s="239" t="s">
        <v>1076</v>
      </c>
      <c r="C24" s="301">
        <f>Assumptions!D39</f>
        <v>0</v>
      </c>
      <c r="D24" s="240"/>
      <c r="E24" s="231" t="s">
        <v>150</v>
      </c>
      <c r="F24" s="231" t="s">
        <v>150</v>
      </c>
      <c r="G24" s="231" t="s">
        <v>150</v>
      </c>
      <c r="H24" s="231" t="s">
        <v>150</v>
      </c>
      <c r="I24" s="231" t="s">
        <v>150</v>
      </c>
      <c r="J24" s="163"/>
      <c r="K24" s="163"/>
      <c r="L24" s="163"/>
    </row>
    <row r="25" spans="1:12">
      <c r="A25" s="241"/>
      <c r="B25" s="242" t="s">
        <v>1452</v>
      </c>
      <c r="C25" s="303">
        <f>Assumptions!D23</f>
        <v>0.82</v>
      </c>
      <c r="D25" s="243"/>
      <c r="E25" s="231"/>
      <c r="F25" s="231"/>
      <c r="G25" s="231"/>
      <c r="H25" s="231"/>
      <c r="I25" s="231"/>
      <c r="J25" s="163"/>
      <c r="K25" s="163"/>
      <c r="L25" s="163"/>
    </row>
    <row r="26" spans="1:12">
      <c r="A26" s="241"/>
      <c r="B26" s="242" t="s">
        <v>1049</v>
      </c>
      <c r="C26" s="303">
        <f>Assumptions!D24</f>
        <v>0.92</v>
      </c>
      <c r="D26" s="243"/>
      <c r="E26" s="231"/>
      <c r="F26" s="231"/>
      <c r="G26" s="231"/>
      <c r="H26" s="231"/>
      <c r="I26" s="231"/>
    </row>
    <row r="27" spans="1:12" ht="29.1">
      <c r="A27" s="241"/>
      <c r="B27" s="242" t="s">
        <v>1077</v>
      </c>
      <c r="C27" s="302">
        <f>Assumptions!D40</f>
        <v>2E-3</v>
      </c>
      <c r="D27" s="243"/>
      <c r="E27" s="231"/>
      <c r="F27" s="231"/>
      <c r="G27" s="231"/>
      <c r="H27" s="231"/>
      <c r="I27" s="231"/>
    </row>
    <row r="28" spans="1:12">
      <c r="A28" s="241"/>
      <c r="B28" s="242" t="s">
        <v>1078</v>
      </c>
      <c r="C28" s="303">
        <f>Assumptions!D41</f>
        <v>1.2</v>
      </c>
      <c r="D28" s="243" t="s">
        <v>150</v>
      </c>
      <c r="E28" s="231" t="s">
        <v>150</v>
      </c>
      <c r="F28" s="231" t="s">
        <v>150</v>
      </c>
      <c r="G28" s="231" t="s">
        <v>150</v>
      </c>
      <c r="H28" s="231" t="s">
        <v>150</v>
      </c>
      <c r="I28" s="231" t="s">
        <v>150</v>
      </c>
    </row>
    <row r="29" spans="1:12" ht="43.5">
      <c r="A29" s="241"/>
      <c r="B29" s="242" t="s">
        <v>1079</v>
      </c>
      <c r="C29" s="299">
        <f>Assumptions!D42</f>
        <v>65</v>
      </c>
      <c r="D29" s="243" t="s">
        <v>1062</v>
      </c>
      <c r="E29" s="231"/>
      <c r="F29" s="231"/>
      <c r="G29" s="231"/>
      <c r="H29" s="231"/>
      <c r="I29" s="231"/>
    </row>
    <row r="30" spans="1:12" ht="29.1">
      <c r="A30" s="241"/>
      <c r="B30" s="242" t="s">
        <v>1080</v>
      </c>
      <c r="C30" s="299">
        <f>Assumptions!D43</f>
        <v>30</v>
      </c>
      <c r="D30" s="243" t="s">
        <v>1062</v>
      </c>
      <c r="E30" s="231"/>
      <c r="F30" s="231"/>
      <c r="G30" s="231"/>
      <c r="H30" s="231" t="s">
        <v>150</v>
      </c>
      <c r="I30" s="231" t="s">
        <v>150</v>
      </c>
    </row>
    <row r="31" spans="1:12">
      <c r="A31" s="241"/>
      <c r="B31" s="242" t="s">
        <v>1081</v>
      </c>
      <c r="C31" s="299">
        <f>Assumptions!D44</f>
        <v>75</v>
      </c>
      <c r="D31" s="243" t="s">
        <v>1062</v>
      </c>
      <c r="E31" s="231"/>
      <c r="F31" s="231"/>
      <c r="G31" s="231"/>
      <c r="H31" s="231"/>
      <c r="I31" s="231"/>
    </row>
    <row r="32" spans="1:12" ht="43.5">
      <c r="A32" s="241"/>
      <c r="B32" s="242" t="s">
        <v>1082</v>
      </c>
      <c r="C32" s="299">
        <f>Assumptions!D45</f>
        <v>65</v>
      </c>
      <c r="D32" s="243" t="s">
        <v>1062</v>
      </c>
      <c r="E32" s="231"/>
      <c r="F32" s="231"/>
      <c r="G32" s="231"/>
      <c r="H32" s="231"/>
      <c r="I32" s="231"/>
    </row>
    <row r="33" spans="1:5" ht="43.5">
      <c r="A33" s="241"/>
      <c r="B33" s="242" t="s">
        <v>1083</v>
      </c>
      <c r="C33" s="299">
        <f>Assumptions!D46</f>
        <v>60</v>
      </c>
      <c r="D33" s="243" t="s">
        <v>1062</v>
      </c>
      <c r="E33" s="234"/>
    </row>
    <row r="34" spans="1:5">
      <c r="A34" s="241"/>
      <c r="B34" s="242" t="s">
        <v>1084</v>
      </c>
      <c r="C34" s="299">
        <f>Assumptions!D47</f>
        <v>50</v>
      </c>
      <c r="D34" s="243" t="s">
        <v>1085</v>
      </c>
      <c r="E34" s="234"/>
    </row>
    <row r="35" spans="1:5">
      <c r="A35" s="241"/>
      <c r="B35" s="242" t="s">
        <v>1453</v>
      </c>
      <c r="C35" s="306">
        <f>Assumptions!D86</f>
        <v>1000</v>
      </c>
      <c r="D35" s="243"/>
      <c r="E35" s="234"/>
    </row>
    <row r="36" spans="1:5">
      <c r="A36" s="241"/>
      <c r="B36" s="242" t="s">
        <v>1160</v>
      </c>
      <c r="C36" s="306">
        <f>Assumptions!D87</f>
        <v>1000</v>
      </c>
      <c r="D36" s="243"/>
      <c r="E36" s="234"/>
    </row>
    <row r="37" spans="1:5">
      <c r="A37" s="244"/>
      <c r="B37" s="245" t="s">
        <v>1086</v>
      </c>
      <c r="C37" s="307">
        <f>Assumptions!D48</f>
        <v>0.05</v>
      </c>
      <c r="D37" s="246" t="s">
        <v>1087</v>
      </c>
      <c r="E37" s="197" t="s">
        <v>150</v>
      </c>
    </row>
    <row r="38" spans="1:5">
      <c r="B38" s="234"/>
      <c r="C38" s="236"/>
      <c r="D38" s="237"/>
      <c r="E38" s="234"/>
    </row>
    <row r="39" spans="1:5">
      <c r="A39" s="3"/>
      <c r="B39" s="235"/>
      <c r="C39" s="235"/>
      <c r="D39" s="235"/>
      <c r="E39" s="234"/>
    </row>
    <row r="40" spans="1:5">
      <c r="A40" s="3" t="s">
        <v>898</v>
      </c>
    </row>
    <row r="41" spans="1:5">
      <c r="A41" s="5" t="s">
        <v>692</v>
      </c>
      <c r="B41" s="205">
        <f>$S$177/$C$19</f>
        <v>3.9762222222222221E-4</v>
      </c>
      <c r="C41" t="s">
        <v>1326</v>
      </c>
    </row>
    <row r="42" spans="1:5">
      <c r="A42" s="5" t="s">
        <v>1454</v>
      </c>
      <c r="B42" s="230">
        <f>$AD$177*$C$36</f>
        <v>0.29599999999999999</v>
      </c>
      <c r="C42" t="s">
        <v>1314</v>
      </c>
    </row>
    <row r="43" spans="1:5">
      <c r="A43" s="164" t="s">
        <v>1455</v>
      </c>
      <c r="B43" s="263">
        <f>$AE$177*$C$36</f>
        <v>0.26300000000000001</v>
      </c>
      <c r="C43" s="165" t="s">
        <v>1314</v>
      </c>
      <c r="D43" t="s">
        <v>1456</v>
      </c>
    </row>
    <row r="45" spans="1:5">
      <c r="A45" s="198" t="s">
        <v>150</v>
      </c>
    </row>
    <row r="46" spans="1:5">
      <c r="A46" s="207" t="s">
        <v>1422</v>
      </c>
    </row>
    <row r="47" spans="1:5">
      <c r="A47" s="208">
        <v>725095</v>
      </c>
    </row>
    <row r="48" spans="1:5">
      <c r="A48" s="207" t="s">
        <v>1423</v>
      </c>
    </row>
    <row r="49" spans="1:31">
      <c r="A49" s="209" t="s">
        <v>1424</v>
      </c>
    </row>
    <row r="51" spans="1:31">
      <c r="A51" t="s">
        <v>1457</v>
      </c>
    </row>
    <row r="52" spans="1:31">
      <c r="H52" s="1883" t="s">
        <v>1458</v>
      </c>
      <c r="I52" s="1884"/>
      <c r="J52" s="1884"/>
      <c r="K52" s="1884"/>
      <c r="L52" s="1884"/>
      <c r="M52" s="1884"/>
      <c r="N52" s="1884"/>
      <c r="O52" s="1884"/>
      <c r="P52" s="1884"/>
      <c r="Q52" s="1884"/>
      <c r="R52" s="1884"/>
      <c r="S52" s="1885"/>
      <c r="T52" s="210" t="s">
        <v>150</v>
      </c>
      <c r="U52" s="1881" t="s">
        <v>1459</v>
      </c>
      <c r="V52" s="1882"/>
      <c r="W52" s="1882"/>
      <c r="X52" s="1882"/>
      <c r="Y52" s="1882"/>
      <c r="Z52" s="1882"/>
      <c r="AA52" s="1882"/>
      <c r="AB52" s="1882"/>
      <c r="AC52" s="1882"/>
      <c r="AD52" s="1882"/>
      <c r="AE52" s="1882"/>
    </row>
    <row r="53" spans="1:31" ht="57.95">
      <c r="A53" s="199" t="s">
        <v>1426</v>
      </c>
      <c r="B53" s="200" t="s">
        <v>1427</v>
      </c>
      <c r="C53" s="200" t="s">
        <v>1428</v>
      </c>
      <c r="D53" s="199" t="s">
        <v>1429</v>
      </c>
      <c r="E53" s="200" t="s">
        <v>1430</v>
      </c>
      <c r="F53" s="200" t="s">
        <v>1431</v>
      </c>
      <c r="G53" s="201" t="s">
        <v>1460</v>
      </c>
      <c r="H53" s="202" t="s">
        <v>1432</v>
      </c>
      <c r="I53" s="202" t="s">
        <v>1433</v>
      </c>
      <c r="J53" s="202" t="s">
        <v>1434</v>
      </c>
      <c r="K53" s="202" t="s">
        <v>1435</v>
      </c>
      <c r="L53" s="202" t="s">
        <v>1461</v>
      </c>
      <c r="M53" s="202" t="s">
        <v>1462</v>
      </c>
      <c r="N53" s="202" t="s">
        <v>1463</v>
      </c>
      <c r="O53" s="202" t="s">
        <v>1464</v>
      </c>
      <c r="P53" s="202" t="s">
        <v>1440</v>
      </c>
      <c r="Q53" s="202" t="s">
        <v>1441</v>
      </c>
      <c r="R53" s="202" t="s">
        <v>1442</v>
      </c>
      <c r="S53" s="202" t="s">
        <v>1443</v>
      </c>
      <c r="T53" s="203" t="s">
        <v>1465</v>
      </c>
      <c r="U53" s="203" t="s">
        <v>1466</v>
      </c>
      <c r="V53" s="202" t="s">
        <v>1467</v>
      </c>
      <c r="W53" s="202" t="s">
        <v>1468</v>
      </c>
      <c r="X53" s="204" t="s">
        <v>1469</v>
      </c>
      <c r="Y53" s="204" t="s">
        <v>1470</v>
      </c>
      <c r="Z53" s="204" t="s">
        <v>1471</v>
      </c>
      <c r="AA53" s="204" t="s">
        <v>1472</v>
      </c>
      <c r="AB53" s="204" t="s">
        <v>1473</v>
      </c>
      <c r="AC53" s="204" t="s">
        <v>1474</v>
      </c>
      <c r="AD53" s="204" t="s">
        <v>1475</v>
      </c>
      <c r="AE53" s="204" t="s">
        <v>1476</v>
      </c>
    </row>
    <row r="54" spans="1:31">
      <c r="A54" s="211">
        <v>100</v>
      </c>
      <c r="B54" s="212">
        <v>76</v>
      </c>
      <c r="C54" s="213">
        <v>0</v>
      </c>
      <c r="D54" s="213">
        <v>0</v>
      </c>
      <c r="E54" s="213">
        <v>0</v>
      </c>
      <c r="F54" s="213">
        <v>0</v>
      </c>
      <c r="G54" s="208" t="s">
        <v>1477</v>
      </c>
      <c r="H54" s="215">
        <v>1</v>
      </c>
      <c r="I54" s="216">
        <v>0</v>
      </c>
      <c r="J54" s="208">
        <v>0</v>
      </c>
      <c r="K54" s="208">
        <v>1</v>
      </c>
      <c r="L54" s="218">
        <v>0</v>
      </c>
      <c r="M54" s="217">
        <v>55</v>
      </c>
      <c r="N54" s="216">
        <v>55</v>
      </c>
      <c r="O54" s="219">
        <v>0</v>
      </c>
      <c r="P54" s="216">
        <v>1</v>
      </c>
      <c r="Q54" s="216">
        <v>1</v>
      </c>
      <c r="R54" s="217">
        <v>0</v>
      </c>
      <c r="S54" s="217">
        <v>0</v>
      </c>
      <c r="T54" s="214">
        <v>0</v>
      </c>
      <c r="U54" s="215">
        <v>0</v>
      </c>
      <c r="V54" s="216">
        <v>0</v>
      </c>
      <c r="W54" s="216">
        <v>0</v>
      </c>
      <c r="X54" s="221">
        <v>1</v>
      </c>
      <c r="Y54" s="220">
        <v>75</v>
      </c>
      <c r="Z54" s="213">
        <v>65</v>
      </c>
      <c r="AA54" s="222">
        <v>0.02</v>
      </c>
      <c r="AB54" s="213">
        <v>0</v>
      </c>
      <c r="AC54" s="213">
        <v>0</v>
      </c>
      <c r="AD54" s="214">
        <v>0</v>
      </c>
      <c r="AE54" s="214">
        <v>0</v>
      </c>
    </row>
    <row r="55" spans="1:31">
      <c r="A55" s="211">
        <v>99</v>
      </c>
      <c r="B55" s="212">
        <v>75</v>
      </c>
      <c r="C55" s="213">
        <v>0</v>
      </c>
      <c r="D55" s="213">
        <v>0</v>
      </c>
      <c r="E55" s="213">
        <v>0</v>
      </c>
      <c r="F55" s="213">
        <v>0</v>
      </c>
      <c r="G55" s="223" t="s">
        <v>1477</v>
      </c>
      <c r="H55" s="224">
        <v>1</v>
      </c>
      <c r="I55" s="213">
        <v>0</v>
      </c>
      <c r="J55" s="223">
        <v>0</v>
      </c>
      <c r="K55" s="223">
        <v>1</v>
      </c>
      <c r="L55" s="221">
        <v>0</v>
      </c>
      <c r="M55" s="220">
        <v>55</v>
      </c>
      <c r="N55" s="213">
        <v>55</v>
      </c>
      <c r="O55" s="225">
        <v>0</v>
      </c>
      <c r="P55" s="213">
        <v>1</v>
      </c>
      <c r="Q55" s="213">
        <v>1</v>
      </c>
      <c r="R55" s="220">
        <v>0</v>
      </c>
      <c r="S55" s="220">
        <v>0</v>
      </c>
      <c r="T55" s="212">
        <v>0</v>
      </c>
      <c r="U55" s="224">
        <v>0</v>
      </c>
      <c r="V55" s="213">
        <v>0</v>
      </c>
      <c r="W55" s="213">
        <v>0</v>
      </c>
      <c r="X55" s="221">
        <v>1</v>
      </c>
      <c r="Y55" s="220">
        <v>75</v>
      </c>
      <c r="Z55" s="213">
        <v>65</v>
      </c>
      <c r="AA55" s="222">
        <v>0.02</v>
      </c>
      <c r="AB55" s="213">
        <v>0</v>
      </c>
      <c r="AC55" s="213">
        <v>0</v>
      </c>
      <c r="AD55" s="212">
        <v>0</v>
      </c>
      <c r="AE55" s="212">
        <v>0</v>
      </c>
    </row>
    <row r="56" spans="1:31">
      <c r="A56" s="211">
        <v>98</v>
      </c>
      <c r="B56" s="212">
        <v>75</v>
      </c>
      <c r="C56" s="213">
        <v>0</v>
      </c>
      <c r="D56" s="213">
        <v>0</v>
      </c>
      <c r="E56" s="213">
        <v>0</v>
      </c>
      <c r="F56" s="213">
        <v>0</v>
      </c>
      <c r="G56" s="223" t="s">
        <v>1477</v>
      </c>
      <c r="H56" s="224">
        <v>1</v>
      </c>
      <c r="I56" s="213">
        <v>0</v>
      </c>
      <c r="J56" s="223">
        <v>0</v>
      </c>
      <c r="K56" s="223">
        <v>1</v>
      </c>
      <c r="L56" s="221">
        <v>0</v>
      </c>
      <c r="M56" s="220">
        <v>55</v>
      </c>
      <c r="N56" s="213">
        <v>55</v>
      </c>
      <c r="O56" s="225">
        <v>0</v>
      </c>
      <c r="P56" s="213">
        <v>1</v>
      </c>
      <c r="Q56" s="213">
        <v>1</v>
      </c>
      <c r="R56" s="220">
        <v>0</v>
      </c>
      <c r="S56" s="220">
        <v>0</v>
      </c>
      <c r="T56" s="212">
        <v>0</v>
      </c>
      <c r="U56" s="224">
        <v>0</v>
      </c>
      <c r="V56" s="213">
        <v>0</v>
      </c>
      <c r="W56" s="213">
        <v>0</v>
      </c>
      <c r="X56" s="221">
        <v>1</v>
      </c>
      <c r="Y56" s="220">
        <v>75</v>
      </c>
      <c r="Z56" s="213">
        <v>65</v>
      </c>
      <c r="AA56" s="222">
        <v>0.02</v>
      </c>
      <c r="AB56" s="213">
        <v>0</v>
      </c>
      <c r="AC56" s="213">
        <v>0</v>
      </c>
      <c r="AD56" s="212">
        <v>0</v>
      </c>
      <c r="AE56" s="212">
        <v>0</v>
      </c>
    </row>
    <row r="57" spans="1:31">
      <c r="A57" s="211">
        <v>97</v>
      </c>
      <c r="B57" s="212">
        <v>74</v>
      </c>
      <c r="C57" s="213">
        <v>0</v>
      </c>
      <c r="D57" s="213">
        <v>0</v>
      </c>
      <c r="E57" s="213">
        <v>0</v>
      </c>
      <c r="F57" s="213">
        <v>0</v>
      </c>
      <c r="G57" s="223" t="s">
        <v>1477</v>
      </c>
      <c r="H57" s="224">
        <v>1</v>
      </c>
      <c r="I57" s="213">
        <v>0</v>
      </c>
      <c r="J57" s="223">
        <v>0</v>
      </c>
      <c r="K57" s="223">
        <v>1</v>
      </c>
      <c r="L57" s="221">
        <v>0</v>
      </c>
      <c r="M57" s="220">
        <v>55</v>
      </c>
      <c r="N57" s="213">
        <v>55</v>
      </c>
      <c r="O57" s="225">
        <v>0</v>
      </c>
      <c r="P57" s="213">
        <v>1</v>
      </c>
      <c r="Q57" s="213">
        <v>1</v>
      </c>
      <c r="R57" s="220">
        <v>0</v>
      </c>
      <c r="S57" s="220">
        <v>0</v>
      </c>
      <c r="T57" s="212">
        <v>0</v>
      </c>
      <c r="U57" s="224">
        <v>0</v>
      </c>
      <c r="V57" s="213">
        <v>0</v>
      </c>
      <c r="W57" s="213">
        <v>0</v>
      </c>
      <c r="X57" s="221">
        <v>1</v>
      </c>
      <c r="Y57" s="220">
        <v>75</v>
      </c>
      <c r="Z57" s="213">
        <v>65</v>
      </c>
      <c r="AA57" s="222">
        <v>0.02</v>
      </c>
      <c r="AB57" s="213">
        <v>0</v>
      </c>
      <c r="AC57" s="213">
        <v>0</v>
      </c>
      <c r="AD57" s="212">
        <v>0</v>
      </c>
      <c r="AE57" s="212">
        <v>0</v>
      </c>
    </row>
    <row r="58" spans="1:31">
      <c r="A58" s="211">
        <v>96</v>
      </c>
      <c r="B58" s="212">
        <v>73</v>
      </c>
      <c r="C58" s="213">
        <v>0</v>
      </c>
      <c r="D58" s="213">
        <v>0</v>
      </c>
      <c r="E58" s="213">
        <v>0</v>
      </c>
      <c r="F58" s="213">
        <v>0</v>
      </c>
      <c r="G58" s="223" t="s">
        <v>1477</v>
      </c>
      <c r="H58" s="224">
        <v>1</v>
      </c>
      <c r="I58" s="213">
        <v>0</v>
      </c>
      <c r="J58" s="223">
        <v>0</v>
      </c>
      <c r="K58" s="223">
        <v>1</v>
      </c>
      <c r="L58" s="221">
        <v>0</v>
      </c>
      <c r="M58" s="220">
        <v>55</v>
      </c>
      <c r="N58" s="213">
        <v>55</v>
      </c>
      <c r="O58" s="225">
        <v>0</v>
      </c>
      <c r="P58" s="213">
        <v>1</v>
      </c>
      <c r="Q58" s="213">
        <v>1</v>
      </c>
      <c r="R58" s="220">
        <v>0</v>
      </c>
      <c r="S58" s="220">
        <v>0</v>
      </c>
      <c r="T58" s="212">
        <v>0</v>
      </c>
      <c r="U58" s="224">
        <v>0</v>
      </c>
      <c r="V58" s="213">
        <v>0</v>
      </c>
      <c r="W58" s="213">
        <v>0</v>
      </c>
      <c r="X58" s="221">
        <v>1</v>
      </c>
      <c r="Y58" s="220">
        <v>75</v>
      </c>
      <c r="Z58" s="213">
        <v>65</v>
      </c>
      <c r="AA58" s="222">
        <v>0.02</v>
      </c>
      <c r="AB58" s="213">
        <v>0</v>
      </c>
      <c r="AC58" s="213">
        <v>0</v>
      </c>
      <c r="AD58" s="212">
        <v>0</v>
      </c>
      <c r="AE58" s="212">
        <v>0</v>
      </c>
    </row>
    <row r="59" spans="1:31">
      <c r="A59" s="211">
        <v>95</v>
      </c>
      <c r="B59" s="212">
        <v>73</v>
      </c>
      <c r="C59" s="213">
        <v>0</v>
      </c>
      <c r="D59" s="213">
        <v>0</v>
      </c>
      <c r="E59" s="213">
        <v>0</v>
      </c>
      <c r="F59" s="213">
        <v>0</v>
      </c>
      <c r="G59" s="223" t="s">
        <v>1477</v>
      </c>
      <c r="H59" s="224">
        <v>1</v>
      </c>
      <c r="I59" s="213">
        <v>0</v>
      </c>
      <c r="J59" s="223">
        <v>0</v>
      </c>
      <c r="K59" s="223">
        <v>1</v>
      </c>
      <c r="L59" s="221">
        <v>0</v>
      </c>
      <c r="M59" s="220">
        <v>55</v>
      </c>
      <c r="N59" s="213">
        <v>55</v>
      </c>
      <c r="O59" s="225">
        <v>0</v>
      </c>
      <c r="P59" s="213">
        <v>1</v>
      </c>
      <c r="Q59" s="213">
        <v>1</v>
      </c>
      <c r="R59" s="220">
        <v>0</v>
      </c>
      <c r="S59" s="220">
        <v>0</v>
      </c>
      <c r="T59" s="212">
        <v>0</v>
      </c>
      <c r="U59" s="224">
        <v>0</v>
      </c>
      <c r="V59" s="213">
        <v>0</v>
      </c>
      <c r="W59" s="213">
        <v>0</v>
      </c>
      <c r="X59" s="221">
        <v>1</v>
      </c>
      <c r="Y59" s="220">
        <v>75</v>
      </c>
      <c r="Z59" s="213">
        <v>65</v>
      </c>
      <c r="AA59" s="222">
        <v>0.02</v>
      </c>
      <c r="AB59" s="213">
        <v>0</v>
      </c>
      <c r="AC59" s="213">
        <v>0</v>
      </c>
      <c r="AD59" s="212">
        <v>0</v>
      </c>
      <c r="AE59" s="212">
        <v>0</v>
      </c>
    </row>
    <row r="60" spans="1:31">
      <c r="A60" s="211">
        <v>94</v>
      </c>
      <c r="B60" s="212">
        <v>74</v>
      </c>
      <c r="C60" s="213">
        <v>0</v>
      </c>
      <c r="D60" s="213">
        <v>0</v>
      </c>
      <c r="E60" s="213">
        <v>0</v>
      </c>
      <c r="F60" s="213">
        <v>0</v>
      </c>
      <c r="G60" s="223" t="s">
        <v>1477</v>
      </c>
      <c r="H60" s="224">
        <v>0.98</v>
      </c>
      <c r="I60" s="213">
        <v>0</v>
      </c>
      <c r="J60" s="223">
        <v>0</v>
      </c>
      <c r="K60" s="223">
        <v>1</v>
      </c>
      <c r="L60" s="221">
        <v>0</v>
      </c>
      <c r="M60" s="220">
        <v>55</v>
      </c>
      <c r="N60" s="213">
        <v>55</v>
      </c>
      <c r="O60" s="225">
        <v>0</v>
      </c>
      <c r="P60" s="213">
        <v>0</v>
      </c>
      <c r="Q60" s="213">
        <v>0</v>
      </c>
      <c r="R60" s="220">
        <v>0</v>
      </c>
      <c r="S60" s="220">
        <v>0</v>
      </c>
      <c r="T60" s="212">
        <v>0</v>
      </c>
      <c r="U60" s="224">
        <v>0</v>
      </c>
      <c r="V60" s="213">
        <v>0</v>
      </c>
      <c r="W60" s="213">
        <v>0</v>
      </c>
      <c r="X60" s="221">
        <v>1</v>
      </c>
      <c r="Y60" s="220">
        <v>75</v>
      </c>
      <c r="Z60" s="213">
        <v>65</v>
      </c>
      <c r="AA60" s="222">
        <v>0.02</v>
      </c>
      <c r="AB60" s="213">
        <v>0</v>
      </c>
      <c r="AC60" s="213">
        <v>0</v>
      </c>
      <c r="AD60" s="212">
        <v>0</v>
      </c>
      <c r="AE60" s="212">
        <v>0</v>
      </c>
    </row>
    <row r="61" spans="1:31">
      <c r="A61" s="211">
        <v>93</v>
      </c>
      <c r="B61" s="212">
        <v>73</v>
      </c>
      <c r="C61" s="213">
        <v>0</v>
      </c>
      <c r="D61" s="213">
        <v>0</v>
      </c>
      <c r="E61" s="213">
        <v>0</v>
      </c>
      <c r="F61" s="213">
        <v>0</v>
      </c>
      <c r="G61" s="223" t="s">
        <v>1477</v>
      </c>
      <c r="H61" s="224">
        <v>0.96</v>
      </c>
      <c r="I61" s="213">
        <v>0</v>
      </c>
      <c r="J61" s="223">
        <v>0</v>
      </c>
      <c r="K61" s="223">
        <v>1</v>
      </c>
      <c r="L61" s="221">
        <v>0</v>
      </c>
      <c r="M61" s="220">
        <v>55</v>
      </c>
      <c r="N61" s="213">
        <v>55</v>
      </c>
      <c r="O61" s="225">
        <v>0</v>
      </c>
      <c r="P61" s="213">
        <v>0</v>
      </c>
      <c r="Q61" s="213">
        <v>0</v>
      </c>
      <c r="R61" s="220">
        <v>0</v>
      </c>
      <c r="S61" s="220">
        <v>0</v>
      </c>
      <c r="T61" s="212">
        <v>0</v>
      </c>
      <c r="U61" s="224">
        <v>0</v>
      </c>
      <c r="V61" s="213">
        <v>0</v>
      </c>
      <c r="W61" s="213">
        <v>0</v>
      </c>
      <c r="X61" s="221">
        <v>1</v>
      </c>
      <c r="Y61" s="220">
        <v>75</v>
      </c>
      <c r="Z61" s="213">
        <v>65</v>
      </c>
      <c r="AA61" s="222">
        <v>0.02</v>
      </c>
      <c r="AB61" s="213">
        <v>0</v>
      </c>
      <c r="AC61" s="213">
        <v>0</v>
      </c>
      <c r="AD61" s="212">
        <v>0</v>
      </c>
      <c r="AE61" s="212">
        <v>0</v>
      </c>
    </row>
    <row r="62" spans="1:31">
      <c r="A62" s="211">
        <v>92</v>
      </c>
      <c r="B62" s="212">
        <v>71</v>
      </c>
      <c r="C62" s="213">
        <v>0</v>
      </c>
      <c r="D62" s="213">
        <v>0</v>
      </c>
      <c r="E62" s="213">
        <v>0</v>
      </c>
      <c r="F62" s="213">
        <v>0</v>
      </c>
      <c r="G62" s="223" t="s">
        <v>1477</v>
      </c>
      <c r="H62" s="224">
        <v>0.95</v>
      </c>
      <c r="I62" s="213">
        <v>0</v>
      </c>
      <c r="J62" s="223">
        <v>0</v>
      </c>
      <c r="K62" s="223">
        <v>1</v>
      </c>
      <c r="L62" s="221">
        <v>0</v>
      </c>
      <c r="M62" s="220">
        <v>55</v>
      </c>
      <c r="N62" s="213">
        <v>55</v>
      </c>
      <c r="O62" s="225">
        <v>0</v>
      </c>
      <c r="P62" s="213">
        <v>0</v>
      </c>
      <c r="Q62" s="213">
        <v>0</v>
      </c>
      <c r="R62" s="220">
        <v>0</v>
      </c>
      <c r="S62" s="220">
        <v>0</v>
      </c>
      <c r="T62" s="212">
        <v>0</v>
      </c>
      <c r="U62" s="224">
        <v>0</v>
      </c>
      <c r="V62" s="213">
        <v>0</v>
      </c>
      <c r="W62" s="213">
        <v>0</v>
      </c>
      <c r="X62" s="221">
        <v>1</v>
      </c>
      <c r="Y62" s="220">
        <v>75</v>
      </c>
      <c r="Z62" s="213">
        <v>65</v>
      </c>
      <c r="AA62" s="222">
        <v>0.02</v>
      </c>
      <c r="AB62" s="213">
        <v>0</v>
      </c>
      <c r="AC62" s="213">
        <v>0</v>
      </c>
      <c r="AD62" s="212">
        <v>0</v>
      </c>
      <c r="AE62" s="212">
        <v>0</v>
      </c>
    </row>
    <row r="63" spans="1:31">
      <c r="A63" s="211">
        <v>91</v>
      </c>
      <c r="B63" s="212">
        <v>72</v>
      </c>
      <c r="C63" s="213">
        <v>0</v>
      </c>
      <c r="D63" s="213">
        <v>0</v>
      </c>
      <c r="E63" s="213">
        <v>0</v>
      </c>
      <c r="F63" s="213">
        <v>0</v>
      </c>
      <c r="G63" s="223" t="s">
        <v>1477</v>
      </c>
      <c r="H63" s="224">
        <v>0.93</v>
      </c>
      <c r="I63" s="213">
        <v>0</v>
      </c>
      <c r="J63" s="223">
        <v>0</v>
      </c>
      <c r="K63" s="223">
        <v>1</v>
      </c>
      <c r="L63" s="221">
        <v>0</v>
      </c>
      <c r="M63" s="220">
        <v>55</v>
      </c>
      <c r="N63" s="213">
        <v>55</v>
      </c>
      <c r="O63" s="225">
        <v>0</v>
      </c>
      <c r="P63" s="213">
        <v>0</v>
      </c>
      <c r="Q63" s="213">
        <v>0</v>
      </c>
      <c r="R63" s="220">
        <v>0</v>
      </c>
      <c r="S63" s="220">
        <v>0</v>
      </c>
      <c r="T63" s="212">
        <v>0</v>
      </c>
      <c r="U63" s="224">
        <v>0</v>
      </c>
      <c r="V63" s="213">
        <v>0</v>
      </c>
      <c r="W63" s="213">
        <v>0</v>
      </c>
      <c r="X63" s="221">
        <v>1</v>
      </c>
      <c r="Y63" s="220">
        <v>75</v>
      </c>
      <c r="Z63" s="213">
        <v>65</v>
      </c>
      <c r="AA63" s="222">
        <v>0.02</v>
      </c>
      <c r="AB63" s="213">
        <v>0</v>
      </c>
      <c r="AC63" s="213">
        <v>0</v>
      </c>
      <c r="AD63" s="212">
        <v>0</v>
      </c>
      <c r="AE63" s="212">
        <v>0</v>
      </c>
    </row>
    <row r="64" spans="1:31">
      <c r="A64" s="211">
        <v>90</v>
      </c>
      <c r="B64" s="212">
        <v>70</v>
      </c>
      <c r="C64" s="213">
        <v>0</v>
      </c>
      <c r="D64" s="213">
        <v>0</v>
      </c>
      <c r="E64" s="213">
        <v>0</v>
      </c>
      <c r="F64" s="213">
        <v>0</v>
      </c>
      <c r="G64" s="223" t="s">
        <v>1477</v>
      </c>
      <c r="H64" s="224">
        <v>0.91</v>
      </c>
      <c r="I64" s="213">
        <v>0</v>
      </c>
      <c r="J64" s="223">
        <v>0</v>
      </c>
      <c r="K64" s="223">
        <v>1</v>
      </c>
      <c r="L64" s="221">
        <v>0</v>
      </c>
      <c r="M64" s="220">
        <v>55</v>
      </c>
      <c r="N64" s="213">
        <v>55</v>
      </c>
      <c r="O64" s="225">
        <v>0</v>
      </c>
      <c r="P64" s="213">
        <v>0</v>
      </c>
      <c r="Q64" s="213">
        <v>0</v>
      </c>
      <c r="R64" s="220">
        <v>0</v>
      </c>
      <c r="S64" s="220">
        <v>0</v>
      </c>
      <c r="T64" s="212">
        <v>0</v>
      </c>
      <c r="U64" s="224">
        <v>0</v>
      </c>
      <c r="V64" s="213">
        <v>0</v>
      </c>
      <c r="W64" s="213">
        <v>0</v>
      </c>
      <c r="X64" s="221">
        <v>1</v>
      </c>
      <c r="Y64" s="220">
        <v>75</v>
      </c>
      <c r="Z64" s="213">
        <v>65</v>
      </c>
      <c r="AA64" s="222">
        <v>0.02</v>
      </c>
      <c r="AB64" s="213">
        <v>0</v>
      </c>
      <c r="AC64" s="213">
        <v>0</v>
      </c>
      <c r="AD64" s="212">
        <v>0</v>
      </c>
      <c r="AE64" s="212">
        <v>0</v>
      </c>
    </row>
    <row r="65" spans="1:31">
      <c r="A65" s="211">
        <v>89</v>
      </c>
      <c r="B65" s="212">
        <v>71</v>
      </c>
      <c r="C65" s="213">
        <v>6</v>
      </c>
      <c r="D65" s="213">
        <v>5</v>
      </c>
      <c r="E65" s="213">
        <v>0</v>
      </c>
      <c r="F65" s="213">
        <v>3</v>
      </c>
      <c r="G65" s="223" t="s">
        <v>1477</v>
      </c>
      <c r="H65" s="224">
        <v>0.89</v>
      </c>
      <c r="I65" s="213">
        <v>2</v>
      </c>
      <c r="J65" s="223">
        <v>2</v>
      </c>
      <c r="K65" s="223">
        <v>1</v>
      </c>
      <c r="L65" s="221">
        <v>0</v>
      </c>
      <c r="M65" s="220">
        <v>55</v>
      </c>
      <c r="N65" s="213">
        <v>55</v>
      </c>
      <c r="O65" s="225">
        <v>0</v>
      </c>
      <c r="P65" s="213">
        <v>0</v>
      </c>
      <c r="Q65" s="213">
        <v>0</v>
      </c>
      <c r="R65" s="220">
        <v>0</v>
      </c>
      <c r="S65" s="220">
        <v>0</v>
      </c>
      <c r="T65" s="212">
        <v>0</v>
      </c>
      <c r="U65" s="224">
        <v>0</v>
      </c>
      <c r="V65" s="213">
        <v>0</v>
      </c>
      <c r="W65" s="213">
        <v>0</v>
      </c>
      <c r="X65" s="221">
        <v>1</v>
      </c>
      <c r="Y65" s="220">
        <v>75</v>
      </c>
      <c r="Z65" s="213">
        <v>65</v>
      </c>
      <c r="AA65" s="222">
        <v>0.02</v>
      </c>
      <c r="AB65" s="213">
        <v>0</v>
      </c>
      <c r="AC65" s="213">
        <v>0</v>
      </c>
      <c r="AD65" s="212">
        <v>0</v>
      </c>
      <c r="AE65" s="212">
        <v>0</v>
      </c>
    </row>
    <row r="66" spans="1:31">
      <c r="A66" s="211">
        <v>88</v>
      </c>
      <c r="B66" s="212">
        <v>71</v>
      </c>
      <c r="C66" s="213">
        <v>0</v>
      </c>
      <c r="D66" s="213">
        <v>0</v>
      </c>
      <c r="E66" s="213">
        <v>0</v>
      </c>
      <c r="F66" s="213">
        <v>0</v>
      </c>
      <c r="G66" s="223" t="s">
        <v>1477</v>
      </c>
      <c r="H66" s="224">
        <v>0.88</v>
      </c>
      <c r="I66" s="213">
        <v>0</v>
      </c>
      <c r="J66" s="223">
        <v>0</v>
      </c>
      <c r="K66" s="223">
        <v>1</v>
      </c>
      <c r="L66" s="221">
        <v>0</v>
      </c>
      <c r="M66" s="220">
        <v>55</v>
      </c>
      <c r="N66" s="213">
        <v>55</v>
      </c>
      <c r="O66" s="225">
        <v>0</v>
      </c>
      <c r="P66" s="213">
        <v>0</v>
      </c>
      <c r="Q66" s="213">
        <v>0</v>
      </c>
      <c r="R66" s="220">
        <v>0</v>
      </c>
      <c r="S66" s="220">
        <v>0</v>
      </c>
      <c r="T66" s="212">
        <v>0</v>
      </c>
      <c r="U66" s="224">
        <v>0</v>
      </c>
      <c r="V66" s="213">
        <v>0</v>
      </c>
      <c r="W66" s="213">
        <v>0</v>
      </c>
      <c r="X66" s="221">
        <v>1</v>
      </c>
      <c r="Y66" s="220">
        <v>75</v>
      </c>
      <c r="Z66" s="213">
        <v>65</v>
      </c>
      <c r="AA66" s="222">
        <v>0.02</v>
      </c>
      <c r="AB66" s="213">
        <v>0</v>
      </c>
      <c r="AC66" s="213">
        <v>0</v>
      </c>
      <c r="AD66" s="212">
        <v>0</v>
      </c>
      <c r="AE66" s="212">
        <v>0</v>
      </c>
    </row>
    <row r="67" spans="1:31">
      <c r="A67" s="211">
        <v>87</v>
      </c>
      <c r="B67" s="212">
        <v>68</v>
      </c>
      <c r="C67" s="213">
        <v>9</v>
      </c>
      <c r="D67" s="213">
        <v>8</v>
      </c>
      <c r="E67" s="213">
        <v>0</v>
      </c>
      <c r="F67" s="213">
        <v>5</v>
      </c>
      <c r="G67" s="223" t="s">
        <v>1477</v>
      </c>
      <c r="H67" s="224">
        <v>0.86</v>
      </c>
      <c r="I67" s="213">
        <v>3</v>
      </c>
      <c r="J67" s="223">
        <v>3</v>
      </c>
      <c r="K67" s="223">
        <v>1</v>
      </c>
      <c r="L67" s="221">
        <v>0</v>
      </c>
      <c r="M67" s="220">
        <v>55</v>
      </c>
      <c r="N67" s="213">
        <v>55</v>
      </c>
      <c r="O67" s="225">
        <v>0</v>
      </c>
      <c r="P67" s="213">
        <v>0</v>
      </c>
      <c r="Q67" s="213">
        <v>0</v>
      </c>
      <c r="R67" s="220">
        <v>0</v>
      </c>
      <c r="S67" s="220">
        <v>0</v>
      </c>
      <c r="T67" s="212">
        <v>0</v>
      </c>
      <c r="U67" s="224">
        <v>0</v>
      </c>
      <c r="V67" s="213">
        <v>0</v>
      </c>
      <c r="W67" s="213">
        <v>0</v>
      </c>
      <c r="X67" s="221">
        <v>1</v>
      </c>
      <c r="Y67" s="220">
        <v>75</v>
      </c>
      <c r="Z67" s="213">
        <v>65</v>
      </c>
      <c r="AA67" s="222">
        <v>0.02</v>
      </c>
      <c r="AB67" s="213">
        <v>0</v>
      </c>
      <c r="AC67" s="213">
        <v>0</v>
      </c>
      <c r="AD67" s="212">
        <v>0</v>
      </c>
      <c r="AE67" s="212">
        <v>0</v>
      </c>
    </row>
    <row r="68" spans="1:31">
      <c r="A68" s="211">
        <v>86</v>
      </c>
      <c r="B68" s="212">
        <v>70</v>
      </c>
      <c r="C68" s="213">
        <v>10</v>
      </c>
      <c r="D68" s="213">
        <v>0</v>
      </c>
      <c r="E68" s="213">
        <v>0</v>
      </c>
      <c r="F68" s="213">
        <v>6</v>
      </c>
      <c r="G68" s="223" t="s">
        <v>1477</v>
      </c>
      <c r="H68" s="224">
        <v>0.84</v>
      </c>
      <c r="I68" s="213">
        <v>3</v>
      </c>
      <c r="J68" s="223">
        <v>0</v>
      </c>
      <c r="K68" s="223">
        <v>1</v>
      </c>
      <c r="L68" s="221">
        <v>0</v>
      </c>
      <c r="M68" s="220">
        <v>55</v>
      </c>
      <c r="N68" s="213">
        <v>55</v>
      </c>
      <c r="O68" s="225">
        <v>0</v>
      </c>
      <c r="P68" s="213">
        <v>0</v>
      </c>
      <c r="Q68" s="213">
        <v>0</v>
      </c>
      <c r="R68" s="220">
        <v>0</v>
      </c>
      <c r="S68" s="220">
        <v>0</v>
      </c>
      <c r="T68" s="212">
        <v>0</v>
      </c>
      <c r="U68" s="224">
        <v>0</v>
      </c>
      <c r="V68" s="213">
        <v>0</v>
      </c>
      <c r="W68" s="213">
        <v>0</v>
      </c>
      <c r="X68" s="221">
        <v>1</v>
      </c>
      <c r="Y68" s="220">
        <v>75</v>
      </c>
      <c r="Z68" s="213">
        <v>65</v>
      </c>
      <c r="AA68" s="222">
        <v>0.02</v>
      </c>
      <c r="AB68" s="213">
        <v>0</v>
      </c>
      <c r="AC68" s="213">
        <v>0</v>
      </c>
      <c r="AD68" s="212">
        <v>0</v>
      </c>
      <c r="AE68" s="212">
        <v>0</v>
      </c>
    </row>
    <row r="69" spans="1:31">
      <c r="A69" s="211">
        <v>85</v>
      </c>
      <c r="B69" s="212">
        <v>69</v>
      </c>
      <c r="C69" s="213">
        <v>0</v>
      </c>
      <c r="D69" s="213">
        <v>8</v>
      </c>
      <c r="E69" s="213">
        <v>0</v>
      </c>
      <c r="F69" s="213">
        <v>0</v>
      </c>
      <c r="G69" s="223" t="s">
        <v>1477</v>
      </c>
      <c r="H69" s="224">
        <v>0.82</v>
      </c>
      <c r="I69" s="213">
        <v>0</v>
      </c>
      <c r="J69" s="223">
        <v>0</v>
      </c>
      <c r="K69" s="223">
        <v>1</v>
      </c>
      <c r="L69" s="221">
        <v>0</v>
      </c>
      <c r="M69" s="220">
        <v>55</v>
      </c>
      <c r="N69" s="213">
        <v>55</v>
      </c>
      <c r="O69" s="225">
        <v>0</v>
      </c>
      <c r="P69" s="213">
        <v>0</v>
      </c>
      <c r="Q69" s="213">
        <v>0</v>
      </c>
      <c r="R69" s="220">
        <v>0</v>
      </c>
      <c r="S69" s="220">
        <v>0</v>
      </c>
      <c r="T69" s="212">
        <v>0</v>
      </c>
      <c r="U69" s="224">
        <v>0</v>
      </c>
      <c r="V69" s="213">
        <v>0</v>
      </c>
      <c r="W69" s="213">
        <v>0</v>
      </c>
      <c r="X69" s="221">
        <v>1</v>
      </c>
      <c r="Y69" s="220">
        <v>75</v>
      </c>
      <c r="Z69" s="213">
        <v>65</v>
      </c>
      <c r="AA69" s="222">
        <v>0.02</v>
      </c>
      <c r="AB69" s="213">
        <v>0</v>
      </c>
      <c r="AC69" s="213">
        <v>0</v>
      </c>
      <c r="AD69" s="212">
        <v>0</v>
      </c>
      <c r="AE69" s="212">
        <v>0</v>
      </c>
    </row>
    <row r="70" spans="1:31">
      <c r="A70" s="211">
        <v>84</v>
      </c>
      <c r="B70" s="212">
        <v>69</v>
      </c>
      <c r="C70" s="213">
        <v>29</v>
      </c>
      <c r="D70" s="213">
        <v>25</v>
      </c>
      <c r="E70" s="213">
        <v>0</v>
      </c>
      <c r="F70" s="213">
        <v>7</v>
      </c>
      <c r="G70" s="223" t="s">
        <v>1477</v>
      </c>
      <c r="H70" s="224">
        <v>0.81</v>
      </c>
      <c r="I70" s="213">
        <v>9</v>
      </c>
      <c r="J70" s="223">
        <v>8</v>
      </c>
      <c r="K70" s="223">
        <v>1</v>
      </c>
      <c r="L70" s="221">
        <v>0</v>
      </c>
      <c r="M70" s="220">
        <v>55</v>
      </c>
      <c r="N70" s="213">
        <v>55</v>
      </c>
      <c r="O70" s="225">
        <v>0</v>
      </c>
      <c r="P70" s="213">
        <v>0</v>
      </c>
      <c r="Q70" s="213">
        <v>0</v>
      </c>
      <c r="R70" s="220">
        <v>0</v>
      </c>
      <c r="S70" s="220">
        <v>0</v>
      </c>
      <c r="T70" s="212">
        <v>0</v>
      </c>
      <c r="U70" s="224">
        <v>0</v>
      </c>
      <c r="V70" s="213">
        <v>0</v>
      </c>
      <c r="W70" s="213">
        <v>0</v>
      </c>
      <c r="X70" s="221">
        <v>1</v>
      </c>
      <c r="Y70" s="220">
        <v>75</v>
      </c>
      <c r="Z70" s="213">
        <v>65</v>
      </c>
      <c r="AA70" s="222">
        <v>0.02</v>
      </c>
      <c r="AB70" s="213">
        <v>0</v>
      </c>
      <c r="AC70" s="213">
        <v>0</v>
      </c>
      <c r="AD70" s="212">
        <v>0</v>
      </c>
      <c r="AE70" s="212">
        <v>0</v>
      </c>
    </row>
    <row r="71" spans="1:31">
      <c r="A71" s="211">
        <v>83</v>
      </c>
      <c r="B71" s="212">
        <v>69</v>
      </c>
      <c r="C71" s="213">
        <v>0</v>
      </c>
      <c r="D71" s="213">
        <v>0</v>
      </c>
      <c r="E71" s="213">
        <v>0</v>
      </c>
      <c r="F71" s="213">
        <v>0</v>
      </c>
      <c r="G71" s="223" t="s">
        <v>1477</v>
      </c>
      <c r="H71" s="224">
        <v>0.79</v>
      </c>
      <c r="I71" s="213">
        <v>0</v>
      </c>
      <c r="J71" s="223">
        <v>0</v>
      </c>
      <c r="K71" s="223">
        <v>1</v>
      </c>
      <c r="L71" s="221">
        <v>0</v>
      </c>
      <c r="M71" s="220">
        <v>55</v>
      </c>
      <c r="N71" s="213">
        <v>55</v>
      </c>
      <c r="O71" s="225">
        <v>0</v>
      </c>
      <c r="P71" s="213">
        <v>0</v>
      </c>
      <c r="Q71" s="213">
        <v>0</v>
      </c>
      <c r="R71" s="220">
        <v>0</v>
      </c>
      <c r="S71" s="220">
        <v>0</v>
      </c>
      <c r="T71" s="212">
        <v>0</v>
      </c>
      <c r="U71" s="224">
        <v>0</v>
      </c>
      <c r="V71" s="213">
        <v>0</v>
      </c>
      <c r="W71" s="213">
        <v>0</v>
      </c>
      <c r="X71" s="221">
        <v>1</v>
      </c>
      <c r="Y71" s="220">
        <v>75</v>
      </c>
      <c r="Z71" s="213">
        <v>65</v>
      </c>
      <c r="AA71" s="222">
        <v>0.02</v>
      </c>
      <c r="AB71" s="213">
        <v>0</v>
      </c>
      <c r="AC71" s="213">
        <v>0</v>
      </c>
      <c r="AD71" s="212">
        <v>0</v>
      </c>
      <c r="AE71" s="212">
        <v>0</v>
      </c>
    </row>
    <row r="72" spans="1:31">
      <c r="A72" s="211">
        <v>82</v>
      </c>
      <c r="B72" s="212">
        <v>69</v>
      </c>
      <c r="C72" s="213">
        <v>49</v>
      </c>
      <c r="D72" s="213">
        <v>32</v>
      </c>
      <c r="E72" s="213">
        <v>0</v>
      </c>
      <c r="F72" s="213">
        <v>23</v>
      </c>
      <c r="G72" s="223" t="s">
        <v>1477</v>
      </c>
      <c r="H72" s="224">
        <v>0.77</v>
      </c>
      <c r="I72" s="213">
        <v>15</v>
      </c>
      <c r="J72" s="223">
        <v>10</v>
      </c>
      <c r="K72" s="223">
        <v>1</v>
      </c>
      <c r="L72" s="221">
        <v>0</v>
      </c>
      <c r="M72" s="220">
        <v>55</v>
      </c>
      <c r="N72" s="213">
        <v>55</v>
      </c>
      <c r="O72" s="225">
        <v>0</v>
      </c>
      <c r="P72" s="213">
        <v>0</v>
      </c>
      <c r="Q72" s="213">
        <v>0</v>
      </c>
      <c r="R72" s="220">
        <v>0</v>
      </c>
      <c r="S72" s="220">
        <v>0</v>
      </c>
      <c r="T72" s="212">
        <v>0</v>
      </c>
      <c r="U72" s="224">
        <v>0</v>
      </c>
      <c r="V72" s="213">
        <v>0</v>
      </c>
      <c r="W72" s="213">
        <v>0</v>
      </c>
      <c r="X72" s="221">
        <v>1</v>
      </c>
      <c r="Y72" s="220">
        <v>75</v>
      </c>
      <c r="Z72" s="213">
        <v>65</v>
      </c>
      <c r="AA72" s="222">
        <v>0.02</v>
      </c>
      <c r="AB72" s="213">
        <v>0</v>
      </c>
      <c r="AC72" s="213">
        <v>0</v>
      </c>
      <c r="AD72" s="212">
        <v>0</v>
      </c>
      <c r="AE72" s="212">
        <v>0</v>
      </c>
    </row>
    <row r="73" spans="1:31">
      <c r="A73" s="211">
        <v>81</v>
      </c>
      <c r="B73" s="212">
        <v>68</v>
      </c>
      <c r="C73" s="213">
        <v>0</v>
      </c>
      <c r="D73" s="213">
        <v>0</v>
      </c>
      <c r="E73" s="213">
        <v>0</v>
      </c>
      <c r="F73" s="213">
        <v>0</v>
      </c>
      <c r="G73" s="223" t="s">
        <v>1477</v>
      </c>
      <c r="H73" s="224">
        <v>0.75</v>
      </c>
      <c r="I73" s="213">
        <v>0</v>
      </c>
      <c r="J73" s="223">
        <v>0</v>
      </c>
      <c r="K73" s="223">
        <v>1</v>
      </c>
      <c r="L73" s="221">
        <v>0</v>
      </c>
      <c r="M73" s="220">
        <v>55</v>
      </c>
      <c r="N73" s="213">
        <v>55</v>
      </c>
      <c r="O73" s="225">
        <v>0</v>
      </c>
      <c r="P73" s="213">
        <v>0</v>
      </c>
      <c r="Q73" s="213">
        <v>0</v>
      </c>
      <c r="R73" s="220">
        <v>0</v>
      </c>
      <c r="S73" s="220">
        <v>0</v>
      </c>
      <c r="T73" s="212">
        <v>0</v>
      </c>
      <c r="U73" s="224">
        <v>0</v>
      </c>
      <c r="V73" s="213">
        <v>0</v>
      </c>
      <c r="W73" s="213">
        <v>0</v>
      </c>
      <c r="X73" s="221">
        <v>1</v>
      </c>
      <c r="Y73" s="220">
        <v>75</v>
      </c>
      <c r="Z73" s="213">
        <v>65</v>
      </c>
      <c r="AA73" s="222">
        <v>0.02</v>
      </c>
      <c r="AB73" s="213">
        <v>0</v>
      </c>
      <c r="AC73" s="213">
        <v>0</v>
      </c>
      <c r="AD73" s="212">
        <v>0</v>
      </c>
      <c r="AE73" s="212">
        <v>0</v>
      </c>
    </row>
    <row r="74" spans="1:31">
      <c r="A74" s="211">
        <v>80</v>
      </c>
      <c r="B74" s="212">
        <v>69</v>
      </c>
      <c r="C74" s="213">
        <v>47</v>
      </c>
      <c r="D74" s="213">
        <v>28</v>
      </c>
      <c r="E74" s="213">
        <v>0</v>
      </c>
      <c r="F74" s="213">
        <v>20</v>
      </c>
      <c r="G74" s="223" t="s">
        <v>1477</v>
      </c>
      <c r="H74" s="224">
        <v>0.74</v>
      </c>
      <c r="I74" s="213">
        <v>13</v>
      </c>
      <c r="J74" s="223">
        <v>8</v>
      </c>
      <c r="K74" s="223">
        <v>1</v>
      </c>
      <c r="L74" s="221">
        <v>0</v>
      </c>
      <c r="M74" s="220">
        <v>55</v>
      </c>
      <c r="N74" s="213">
        <v>55</v>
      </c>
      <c r="O74" s="225">
        <v>0</v>
      </c>
      <c r="P74" s="213">
        <v>0</v>
      </c>
      <c r="Q74" s="213">
        <v>0</v>
      </c>
      <c r="R74" s="220">
        <v>0</v>
      </c>
      <c r="S74" s="220">
        <v>0</v>
      </c>
      <c r="T74" s="212">
        <v>0</v>
      </c>
      <c r="U74" s="224">
        <v>0</v>
      </c>
      <c r="V74" s="213">
        <v>0</v>
      </c>
      <c r="W74" s="213">
        <v>0</v>
      </c>
      <c r="X74" s="221">
        <v>1</v>
      </c>
      <c r="Y74" s="220">
        <v>75</v>
      </c>
      <c r="Z74" s="213">
        <v>65</v>
      </c>
      <c r="AA74" s="222">
        <v>0.02</v>
      </c>
      <c r="AB74" s="213">
        <v>0</v>
      </c>
      <c r="AC74" s="213">
        <v>0</v>
      </c>
      <c r="AD74" s="212">
        <v>0</v>
      </c>
      <c r="AE74" s="212">
        <v>0</v>
      </c>
    </row>
    <row r="75" spans="1:31">
      <c r="A75" s="211">
        <v>79</v>
      </c>
      <c r="B75" s="212">
        <v>68</v>
      </c>
      <c r="C75" s="213">
        <v>0</v>
      </c>
      <c r="D75" s="213">
        <v>0</v>
      </c>
      <c r="E75" s="213">
        <v>0</v>
      </c>
      <c r="F75" s="213">
        <v>0</v>
      </c>
      <c r="G75" s="223" t="s">
        <v>1477</v>
      </c>
      <c r="H75" s="224">
        <v>0.72</v>
      </c>
      <c r="I75" s="213">
        <v>0</v>
      </c>
      <c r="J75" s="223">
        <v>0</v>
      </c>
      <c r="K75" s="223">
        <v>1</v>
      </c>
      <c r="L75" s="221">
        <v>0</v>
      </c>
      <c r="M75" s="220">
        <v>55</v>
      </c>
      <c r="N75" s="213">
        <v>55</v>
      </c>
      <c r="O75" s="225">
        <v>0</v>
      </c>
      <c r="P75" s="213">
        <v>0</v>
      </c>
      <c r="Q75" s="213">
        <v>0</v>
      </c>
      <c r="R75" s="220">
        <v>0</v>
      </c>
      <c r="S75" s="220">
        <v>0</v>
      </c>
      <c r="T75" s="212">
        <v>0</v>
      </c>
      <c r="U75" s="224">
        <v>0</v>
      </c>
      <c r="V75" s="213">
        <v>0</v>
      </c>
      <c r="W75" s="213">
        <v>0</v>
      </c>
      <c r="X75" s="221">
        <v>1</v>
      </c>
      <c r="Y75" s="220">
        <v>75</v>
      </c>
      <c r="Z75" s="213">
        <v>65</v>
      </c>
      <c r="AA75" s="222">
        <v>0.02</v>
      </c>
      <c r="AB75" s="213">
        <v>0</v>
      </c>
      <c r="AC75" s="213">
        <v>0</v>
      </c>
      <c r="AD75" s="212">
        <v>0</v>
      </c>
      <c r="AE75" s="212">
        <v>0</v>
      </c>
    </row>
    <row r="76" spans="1:31">
      <c r="A76" s="211">
        <v>78</v>
      </c>
      <c r="B76" s="212">
        <v>67</v>
      </c>
      <c r="C76" s="213">
        <v>84</v>
      </c>
      <c r="D76" s="213">
        <v>52</v>
      </c>
      <c r="E76" s="213">
        <v>0</v>
      </c>
      <c r="F76" s="213">
        <v>31</v>
      </c>
      <c r="G76" s="223" t="s">
        <v>1477</v>
      </c>
      <c r="H76" s="224">
        <v>0.7</v>
      </c>
      <c r="I76" s="213">
        <v>23</v>
      </c>
      <c r="J76" s="223">
        <v>14</v>
      </c>
      <c r="K76" s="223">
        <v>1</v>
      </c>
      <c r="L76" s="221">
        <v>0</v>
      </c>
      <c r="M76" s="220">
        <v>55</v>
      </c>
      <c r="N76" s="213">
        <v>55</v>
      </c>
      <c r="O76" s="225">
        <v>0</v>
      </c>
      <c r="P76" s="213">
        <v>0</v>
      </c>
      <c r="Q76" s="213">
        <v>0</v>
      </c>
      <c r="R76" s="220">
        <v>0</v>
      </c>
      <c r="S76" s="220">
        <v>0</v>
      </c>
      <c r="T76" s="212">
        <v>0</v>
      </c>
      <c r="U76" s="224">
        <v>0</v>
      </c>
      <c r="V76" s="213">
        <v>0</v>
      </c>
      <c r="W76" s="213">
        <v>0</v>
      </c>
      <c r="X76" s="221">
        <v>1</v>
      </c>
      <c r="Y76" s="220">
        <v>75</v>
      </c>
      <c r="Z76" s="213">
        <v>65</v>
      </c>
      <c r="AA76" s="222">
        <v>0.02</v>
      </c>
      <c r="AB76" s="213">
        <v>0</v>
      </c>
      <c r="AC76" s="213">
        <v>0</v>
      </c>
      <c r="AD76" s="212">
        <v>0</v>
      </c>
      <c r="AE76" s="212">
        <v>0</v>
      </c>
    </row>
    <row r="77" spans="1:31">
      <c r="A77" s="211">
        <v>77</v>
      </c>
      <c r="B77" s="212">
        <v>67</v>
      </c>
      <c r="C77" s="213">
        <v>86</v>
      </c>
      <c r="D77" s="213">
        <v>2</v>
      </c>
      <c r="E77" s="213">
        <v>0</v>
      </c>
      <c r="F77" s="213">
        <v>33</v>
      </c>
      <c r="G77" s="223" t="s">
        <v>1477</v>
      </c>
      <c r="H77" s="224">
        <v>0.68</v>
      </c>
      <c r="I77" s="213">
        <v>23</v>
      </c>
      <c r="J77" s="223">
        <v>1</v>
      </c>
      <c r="K77" s="223">
        <v>1</v>
      </c>
      <c r="L77" s="221">
        <v>0</v>
      </c>
      <c r="M77" s="220">
        <v>55</v>
      </c>
      <c r="N77" s="213">
        <v>55</v>
      </c>
      <c r="O77" s="225">
        <v>0</v>
      </c>
      <c r="P77" s="213">
        <v>0</v>
      </c>
      <c r="Q77" s="213">
        <v>0</v>
      </c>
      <c r="R77" s="220">
        <v>0</v>
      </c>
      <c r="S77" s="220">
        <v>0</v>
      </c>
      <c r="T77" s="212">
        <v>0</v>
      </c>
      <c r="U77" s="224">
        <v>0</v>
      </c>
      <c r="V77" s="213">
        <v>0</v>
      </c>
      <c r="W77" s="213">
        <v>0</v>
      </c>
      <c r="X77" s="221">
        <v>1</v>
      </c>
      <c r="Y77" s="220">
        <v>75</v>
      </c>
      <c r="Z77" s="213">
        <v>65</v>
      </c>
      <c r="AA77" s="222">
        <v>0.02</v>
      </c>
      <c r="AB77" s="213">
        <v>0</v>
      </c>
      <c r="AC77" s="213">
        <v>0</v>
      </c>
      <c r="AD77" s="212">
        <v>0</v>
      </c>
      <c r="AE77" s="212">
        <v>0</v>
      </c>
    </row>
    <row r="78" spans="1:31">
      <c r="A78" s="211">
        <v>76</v>
      </c>
      <c r="B78" s="212">
        <v>66</v>
      </c>
      <c r="C78" s="213">
        <v>0</v>
      </c>
      <c r="D78" s="213">
        <v>62</v>
      </c>
      <c r="E78" s="213">
        <v>0</v>
      </c>
      <c r="F78" s="213">
        <v>0</v>
      </c>
      <c r="G78" s="223" t="s">
        <v>1477</v>
      </c>
      <c r="H78" s="224">
        <v>0.67</v>
      </c>
      <c r="I78" s="213">
        <v>0</v>
      </c>
      <c r="J78" s="223">
        <v>0</v>
      </c>
      <c r="K78" s="223">
        <v>1</v>
      </c>
      <c r="L78" s="221">
        <v>0</v>
      </c>
      <c r="M78" s="220">
        <v>55</v>
      </c>
      <c r="N78" s="213">
        <v>55</v>
      </c>
      <c r="O78" s="225">
        <v>0</v>
      </c>
      <c r="P78" s="213">
        <v>0</v>
      </c>
      <c r="Q78" s="213">
        <v>0</v>
      </c>
      <c r="R78" s="220">
        <v>0</v>
      </c>
      <c r="S78" s="220">
        <v>0</v>
      </c>
      <c r="T78" s="212">
        <v>0</v>
      </c>
      <c r="U78" s="224">
        <v>0</v>
      </c>
      <c r="V78" s="213">
        <v>0</v>
      </c>
      <c r="W78" s="213">
        <v>0</v>
      </c>
      <c r="X78" s="221">
        <v>1</v>
      </c>
      <c r="Y78" s="220">
        <v>75</v>
      </c>
      <c r="Z78" s="213">
        <v>65</v>
      </c>
      <c r="AA78" s="222">
        <v>0.02</v>
      </c>
      <c r="AB78" s="213">
        <v>0</v>
      </c>
      <c r="AC78" s="213">
        <v>0</v>
      </c>
      <c r="AD78" s="212">
        <v>0</v>
      </c>
      <c r="AE78" s="212">
        <v>0</v>
      </c>
    </row>
    <row r="79" spans="1:31">
      <c r="A79" s="211">
        <v>75</v>
      </c>
      <c r="B79" s="212">
        <v>66</v>
      </c>
      <c r="C79" s="213">
        <v>166</v>
      </c>
      <c r="D79" s="213">
        <v>125</v>
      </c>
      <c r="E79" s="213">
        <v>0</v>
      </c>
      <c r="F79" s="213">
        <v>50</v>
      </c>
      <c r="G79" s="223" t="s">
        <v>1477</v>
      </c>
      <c r="H79" s="224">
        <v>0.65</v>
      </c>
      <c r="I79" s="213">
        <v>42</v>
      </c>
      <c r="J79" s="223">
        <v>31</v>
      </c>
      <c r="K79" s="223">
        <v>1</v>
      </c>
      <c r="L79" s="221">
        <v>0</v>
      </c>
      <c r="M79" s="220">
        <v>55</v>
      </c>
      <c r="N79" s="213">
        <v>55</v>
      </c>
      <c r="O79" s="225">
        <v>0</v>
      </c>
      <c r="P79" s="213">
        <v>0</v>
      </c>
      <c r="Q79" s="213">
        <v>0</v>
      </c>
      <c r="R79" s="220">
        <v>0</v>
      </c>
      <c r="S79" s="220">
        <v>0</v>
      </c>
      <c r="T79" s="212">
        <v>0</v>
      </c>
      <c r="U79" s="224">
        <v>0</v>
      </c>
      <c r="V79" s="213">
        <v>0</v>
      </c>
      <c r="W79" s="213">
        <v>0</v>
      </c>
      <c r="X79" s="221">
        <v>1</v>
      </c>
      <c r="Y79" s="220">
        <v>75</v>
      </c>
      <c r="Z79" s="213">
        <v>65</v>
      </c>
      <c r="AA79" s="222">
        <v>0.02</v>
      </c>
      <c r="AB79" s="213">
        <v>0</v>
      </c>
      <c r="AC79" s="213">
        <v>0</v>
      </c>
      <c r="AD79" s="212">
        <v>0</v>
      </c>
      <c r="AE79" s="212">
        <v>0</v>
      </c>
    </row>
    <row r="80" spans="1:31">
      <c r="A80" s="211">
        <v>74</v>
      </c>
      <c r="B80" s="212">
        <v>66</v>
      </c>
      <c r="C80" s="213">
        <v>1</v>
      </c>
      <c r="D80" s="213">
        <v>0</v>
      </c>
      <c r="E80" s="213">
        <v>0</v>
      </c>
      <c r="F80" s="213">
        <v>0</v>
      </c>
      <c r="G80" s="223" t="s">
        <v>1477</v>
      </c>
      <c r="H80" s="224">
        <v>0.63</v>
      </c>
      <c r="I80" s="213">
        <v>0</v>
      </c>
      <c r="J80" s="223">
        <v>0</v>
      </c>
      <c r="K80" s="223">
        <v>1</v>
      </c>
      <c r="L80" s="221">
        <v>0</v>
      </c>
      <c r="M80" s="220">
        <v>55</v>
      </c>
      <c r="N80" s="213">
        <v>55</v>
      </c>
      <c r="O80" s="225">
        <v>0</v>
      </c>
      <c r="P80" s="213">
        <v>0</v>
      </c>
      <c r="Q80" s="213">
        <v>0</v>
      </c>
      <c r="R80" s="220">
        <v>0</v>
      </c>
      <c r="S80" s="220">
        <v>0</v>
      </c>
      <c r="T80" s="212">
        <v>0</v>
      </c>
      <c r="U80" s="224">
        <v>0</v>
      </c>
      <c r="V80" s="213">
        <v>0</v>
      </c>
      <c r="W80" s="213">
        <v>0</v>
      </c>
      <c r="X80" s="221">
        <v>1</v>
      </c>
      <c r="Y80" s="220">
        <v>75</v>
      </c>
      <c r="Z80" s="213">
        <v>65</v>
      </c>
      <c r="AA80" s="222">
        <v>0.02</v>
      </c>
      <c r="AB80" s="213">
        <v>0</v>
      </c>
      <c r="AC80" s="213">
        <v>0</v>
      </c>
      <c r="AD80" s="212">
        <v>0</v>
      </c>
      <c r="AE80" s="212">
        <v>0</v>
      </c>
    </row>
    <row r="81" spans="1:31">
      <c r="A81" s="211">
        <v>73</v>
      </c>
      <c r="B81" s="212">
        <v>65</v>
      </c>
      <c r="C81" s="213">
        <v>197</v>
      </c>
      <c r="D81" s="213">
        <v>131</v>
      </c>
      <c r="E81" s="213">
        <v>0</v>
      </c>
      <c r="F81" s="213">
        <v>43</v>
      </c>
      <c r="G81" s="223" t="s">
        <v>1477</v>
      </c>
      <c r="H81" s="224">
        <v>0.61</v>
      </c>
      <c r="I81" s="213">
        <v>47</v>
      </c>
      <c r="J81" s="223">
        <v>31</v>
      </c>
      <c r="K81" s="223">
        <v>1</v>
      </c>
      <c r="L81" s="221">
        <v>0</v>
      </c>
      <c r="M81" s="220">
        <v>55</v>
      </c>
      <c r="N81" s="213">
        <v>55</v>
      </c>
      <c r="O81" s="225">
        <v>0</v>
      </c>
      <c r="P81" s="213">
        <v>0</v>
      </c>
      <c r="Q81" s="213">
        <v>0</v>
      </c>
      <c r="R81" s="220">
        <v>0</v>
      </c>
      <c r="S81" s="220">
        <v>0</v>
      </c>
      <c r="T81" s="212">
        <v>0</v>
      </c>
      <c r="U81" s="224">
        <v>0</v>
      </c>
      <c r="V81" s="213">
        <v>0</v>
      </c>
      <c r="W81" s="213">
        <v>0</v>
      </c>
      <c r="X81" s="221">
        <v>1</v>
      </c>
      <c r="Y81" s="220">
        <v>75</v>
      </c>
      <c r="Z81" s="213">
        <v>65</v>
      </c>
      <c r="AA81" s="222">
        <v>0.02</v>
      </c>
      <c r="AB81" s="213">
        <v>0</v>
      </c>
      <c r="AC81" s="213">
        <v>0</v>
      </c>
      <c r="AD81" s="212">
        <v>0</v>
      </c>
      <c r="AE81" s="212">
        <v>0</v>
      </c>
    </row>
    <row r="82" spans="1:31">
      <c r="A82" s="211">
        <v>72</v>
      </c>
      <c r="B82" s="212">
        <v>64</v>
      </c>
      <c r="C82" s="213">
        <v>4</v>
      </c>
      <c r="D82" s="213">
        <v>2</v>
      </c>
      <c r="E82" s="213">
        <v>0</v>
      </c>
      <c r="F82" s="213">
        <v>0</v>
      </c>
      <c r="G82" s="223" t="s">
        <v>1477</v>
      </c>
      <c r="H82" s="224">
        <v>0.6</v>
      </c>
      <c r="I82" s="213">
        <v>1</v>
      </c>
      <c r="J82" s="223">
        <v>0</v>
      </c>
      <c r="K82" s="223">
        <v>0</v>
      </c>
      <c r="L82" s="221">
        <v>0</v>
      </c>
      <c r="M82" s="220">
        <v>55</v>
      </c>
      <c r="N82" s="213">
        <v>55</v>
      </c>
      <c r="O82" s="225">
        <v>0</v>
      </c>
      <c r="P82" s="213">
        <v>0</v>
      </c>
      <c r="Q82" s="213">
        <v>0</v>
      </c>
      <c r="R82" s="220">
        <v>0</v>
      </c>
      <c r="S82" s="220">
        <v>0</v>
      </c>
      <c r="T82" s="212">
        <v>0</v>
      </c>
      <c r="U82" s="224">
        <v>0</v>
      </c>
      <c r="V82" s="213">
        <v>0</v>
      </c>
      <c r="W82" s="213">
        <v>0</v>
      </c>
      <c r="X82" s="221">
        <v>1</v>
      </c>
      <c r="Y82" s="220">
        <v>75</v>
      </c>
      <c r="Z82" s="213">
        <v>65</v>
      </c>
      <c r="AA82" s="222">
        <v>0.02</v>
      </c>
      <c r="AB82" s="213">
        <v>0</v>
      </c>
      <c r="AC82" s="213">
        <v>0</v>
      </c>
      <c r="AD82" s="212">
        <v>0</v>
      </c>
      <c r="AE82" s="212">
        <v>0</v>
      </c>
    </row>
    <row r="83" spans="1:31">
      <c r="A83" s="211">
        <v>71</v>
      </c>
      <c r="B83" s="212">
        <v>65</v>
      </c>
      <c r="C83" s="213">
        <v>216</v>
      </c>
      <c r="D83" s="213">
        <v>135</v>
      </c>
      <c r="E83" s="213">
        <v>0</v>
      </c>
      <c r="F83" s="213">
        <v>24</v>
      </c>
      <c r="G83" s="223" t="s">
        <v>1477</v>
      </c>
      <c r="H83" s="224">
        <v>0.57999999999999996</v>
      </c>
      <c r="I83" s="213">
        <v>48</v>
      </c>
      <c r="J83" s="223">
        <v>30</v>
      </c>
      <c r="K83" s="223">
        <v>0</v>
      </c>
      <c r="L83" s="221">
        <v>0</v>
      </c>
      <c r="M83" s="220">
        <v>55</v>
      </c>
      <c r="N83" s="213">
        <v>55</v>
      </c>
      <c r="O83" s="225">
        <v>0</v>
      </c>
      <c r="P83" s="213">
        <v>0</v>
      </c>
      <c r="Q83" s="213">
        <v>0</v>
      </c>
      <c r="R83" s="220">
        <v>0</v>
      </c>
      <c r="S83" s="220">
        <v>0</v>
      </c>
      <c r="T83" s="212">
        <v>0</v>
      </c>
      <c r="U83" s="224">
        <v>0</v>
      </c>
      <c r="V83" s="213">
        <v>0</v>
      </c>
      <c r="W83" s="213">
        <v>0</v>
      </c>
      <c r="X83" s="221">
        <v>1</v>
      </c>
      <c r="Y83" s="220">
        <v>75</v>
      </c>
      <c r="Z83" s="213">
        <v>65</v>
      </c>
      <c r="AA83" s="222">
        <v>0.02</v>
      </c>
      <c r="AB83" s="213">
        <v>0</v>
      </c>
      <c r="AC83" s="213">
        <v>0</v>
      </c>
      <c r="AD83" s="212">
        <v>0</v>
      </c>
      <c r="AE83" s="212">
        <v>0</v>
      </c>
    </row>
    <row r="84" spans="1:31">
      <c r="A84" s="211">
        <v>70</v>
      </c>
      <c r="B84" s="212">
        <v>62</v>
      </c>
      <c r="C84" s="213">
        <v>5</v>
      </c>
      <c r="D84" s="213">
        <v>4</v>
      </c>
      <c r="E84" s="213">
        <v>0</v>
      </c>
      <c r="F84" s="213">
        <v>0</v>
      </c>
      <c r="G84" s="223" t="s">
        <v>1477</v>
      </c>
      <c r="H84" s="224">
        <v>0.56000000000000005</v>
      </c>
      <c r="I84" s="213">
        <v>1</v>
      </c>
      <c r="J84" s="223">
        <v>1</v>
      </c>
      <c r="K84" s="223">
        <v>0</v>
      </c>
      <c r="L84" s="221">
        <v>0</v>
      </c>
      <c r="M84" s="220">
        <v>55</v>
      </c>
      <c r="N84" s="213">
        <v>55</v>
      </c>
      <c r="O84" s="225">
        <v>0</v>
      </c>
      <c r="P84" s="213">
        <v>0</v>
      </c>
      <c r="Q84" s="213">
        <v>0</v>
      </c>
      <c r="R84" s="220">
        <v>0</v>
      </c>
      <c r="S84" s="220">
        <v>0</v>
      </c>
      <c r="T84" s="212">
        <v>0</v>
      </c>
      <c r="U84" s="224">
        <v>0</v>
      </c>
      <c r="V84" s="213">
        <v>0</v>
      </c>
      <c r="W84" s="213">
        <v>0</v>
      </c>
      <c r="X84" s="221">
        <v>1</v>
      </c>
      <c r="Y84" s="220">
        <v>75</v>
      </c>
      <c r="Z84" s="213">
        <v>65</v>
      </c>
      <c r="AA84" s="222">
        <v>0.02</v>
      </c>
      <c r="AB84" s="213">
        <v>0</v>
      </c>
      <c r="AC84" s="213">
        <v>0</v>
      </c>
      <c r="AD84" s="212">
        <v>0</v>
      </c>
      <c r="AE84" s="212">
        <v>0</v>
      </c>
    </row>
    <row r="85" spans="1:31">
      <c r="A85" s="211">
        <v>69</v>
      </c>
      <c r="B85" s="212">
        <v>62</v>
      </c>
      <c r="C85" s="213">
        <v>255</v>
      </c>
      <c r="D85" s="213">
        <v>152</v>
      </c>
      <c r="E85" s="213">
        <v>0</v>
      </c>
      <c r="F85" s="213">
        <v>35</v>
      </c>
      <c r="G85" s="223" t="s">
        <v>1477</v>
      </c>
      <c r="H85" s="224">
        <v>0.54</v>
      </c>
      <c r="I85" s="213">
        <v>54</v>
      </c>
      <c r="J85" s="223">
        <v>32</v>
      </c>
      <c r="K85" s="223">
        <v>0</v>
      </c>
      <c r="L85" s="221">
        <v>7.0000000000000007E-2</v>
      </c>
      <c r="M85" s="220">
        <v>55</v>
      </c>
      <c r="N85" s="213">
        <v>55</v>
      </c>
      <c r="O85" s="225">
        <v>0</v>
      </c>
      <c r="P85" s="213">
        <v>0</v>
      </c>
      <c r="Q85" s="213">
        <v>0</v>
      </c>
      <c r="R85" s="220">
        <v>0</v>
      </c>
      <c r="S85" s="220">
        <v>0</v>
      </c>
      <c r="T85" s="212">
        <v>0</v>
      </c>
      <c r="U85" s="224">
        <v>0</v>
      </c>
      <c r="V85" s="213">
        <v>0</v>
      </c>
      <c r="W85" s="213">
        <v>0</v>
      </c>
      <c r="X85" s="221">
        <v>1</v>
      </c>
      <c r="Y85" s="220">
        <v>75</v>
      </c>
      <c r="Z85" s="213">
        <v>65</v>
      </c>
      <c r="AA85" s="222">
        <v>0.02</v>
      </c>
      <c r="AB85" s="213">
        <v>0</v>
      </c>
      <c r="AC85" s="213">
        <v>0</v>
      </c>
      <c r="AD85" s="212">
        <v>0</v>
      </c>
      <c r="AE85" s="212">
        <v>0</v>
      </c>
    </row>
    <row r="86" spans="1:31">
      <c r="A86" s="211">
        <v>68</v>
      </c>
      <c r="B86" s="212">
        <v>61</v>
      </c>
      <c r="C86" s="213">
        <v>153</v>
      </c>
      <c r="D86" s="213">
        <v>3</v>
      </c>
      <c r="E86" s="213">
        <v>0</v>
      </c>
      <c r="F86" s="213">
        <v>22</v>
      </c>
      <c r="G86" s="223" t="s">
        <v>1477</v>
      </c>
      <c r="H86" s="224">
        <v>0.53</v>
      </c>
      <c r="I86" s="213">
        <v>31</v>
      </c>
      <c r="J86" s="223">
        <v>1</v>
      </c>
      <c r="K86" s="223">
        <v>0</v>
      </c>
      <c r="L86" s="221">
        <v>0.13</v>
      </c>
      <c r="M86" s="220">
        <v>55</v>
      </c>
      <c r="N86" s="213">
        <v>56</v>
      </c>
      <c r="O86" s="225">
        <v>0.01</v>
      </c>
      <c r="P86" s="213">
        <v>0</v>
      </c>
      <c r="Q86" s="213">
        <v>0</v>
      </c>
      <c r="R86" s="220">
        <v>0</v>
      </c>
      <c r="S86" s="220">
        <v>0</v>
      </c>
      <c r="T86" s="212">
        <v>0</v>
      </c>
      <c r="U86" s="224">
        <v>0</v>
      </c>
      <c r="V86" s="213">
        <v>0</v>
      </c>
      <c r="W86" s="213">
        <v>0</v>
      </c>
      <c r="X86" s="221">
        <v>1</v>
      </c>
      <c r="Y86" s="220">
        <v>75</v>
      </c>
      <c r="Z86" s="213">
        <v>65</v>
      </c>
      <c r="AA86" s="222">
        <v>0.02</v>
      </c>
      <c r="AB86" s="213">
        <v>0</v>
      </c>
      <c r="AC86" s="213">
        <v>0</v>
      </c>
      <c r="AD86" s="212">
        <v>0</v>
      </c>
      <c r="AE86" s="212">
        <v>0</v>
      </c>
    </row>
    <row r="87" spans="1:31">
      <c r="A87" s="211">
        <v>67</v>
      </c>
      <c r="B87" s="212">
        <v>61</v>
      </c>
      <c r="C87" s="213">
        <v>8</v>
      </c>
      <c r="D87" s="213">
        <v>79</v>
      </c>
      <c r="E87" s="213">
        <v>0</v>
      </c>
      <c r="F87" s="213">
        <v>0</v>
      </c>
      <c r="G87" s="223" t="s">
        <v>1477</v>
      </c>
      <c r="H87" s="224">
        <v>0.51</v>
      </c>
      <c r="I87" s="213">
        <v>2</v>
      </c>
      <c r="J87" s="223">
        <v>16</v>
      </c>
      <c r="K87" s="223">
        <v>0</v>
      </c>
      <c r="L87" s="221">
        <v>0.2</v>
      </c>
      <c r="M87" s="220">
        <v>55</v>
      </c>
      <c r="N87" s="213">
        <v>56</v>
      </c>
      <c r="O87" s="225">
        <v>0.01</v>
      </c>
      <c r="P87" s="213">
        <v>0</v>
      </c>
      <c r="Q87" s="213">
        <v>0</v>
      </c>
      <c r="R87" s="220">
        <v>0</v>
      </c>
      <c r="S87" s="220">
        <v>0</v>
      </c>
      <c r="T87" s="212">
        <v>0</v>
      </c>
      <c r="U87" s="224">
        <v>0</v>
      </c>
      <c r="V87" s="213">
        <v>0</v>
      </c>
      <c r="W87" s="213">
        <v>0</v>
      </c>
      <c r="X87" s="221">
        <v>1</v>
      </c>
      <c r="Y87" s="220">
        <v>75</v>
      </c>
      <c r="Z87" s="213">
        <v>65</v>
      </c>
      <c r="AA87" s="222">
        <v>0.02</v>
      </c>
      <c r="AB87" s="213">
        <v>0</v>
      </c>
      <c r="AC87" s="213">
        <v>0</v>
      </c>
      <c r="AD87" s="212">
        <v>0</v>
      </c>
      <c r="AE87" s="212">
        <v>0</v>
      </c>
    </row>
    <row r="88" spans="1:31">
      <c r="A88" s="211">
        <v>66</v>
      </c>
      <c r="B88" s="212">
        <v>60</v>
      </c>
      <c r="C88" s="213">
        <v>293</v>
      </c>
      <c r="D88" s="213">
        <v>160</v>
      </c>
      <c r="E88" s="213">
        <v>0</v>
      </c>
      <c r="F88" s="213">
        <v>24</v>
      </c>
      <c r="G88" s="223" t="s">
        <v>150</v>
      </c>
      <c r="H88" s="224">
        <v>0.49</v>
      </c>
      <c r="I88" s="213">
        <v>56</v>
      </c>
      <c r="J88" s="223">
        <v>30</v>
      </c>
      <c r="K88" s="223">
        <v>0</v>
      </c>
      <c r="L88" s="221">
        <v>0.27</v>
      </c>
      <c r="M88" s="220">
        <v>55</v>
      </c>
      <c r="N88" s="213">
        <v>56</v>
      </c>
      <c r="O88" s="225">
        <v>0.01</v>
      </c>
      <c r="P88" s="213">
        <v>0</v>
      </c>
      <c r="Q88" s="213">
        <v>0</v>
      </c>
      <c r="R88" s="220">
        <v>0</v>
      </c>
      <c r="S88" s="220">
        <v>0</v>
      </c>
      <c r="T88" s="212">
        <v>0</v>
      </c>
      <c r="U88" s="224">
        <v>0</v>
      </c>
      <c r="V88" s="213">
        <v>0</v>
      </c>
      <c r="W88" s="213">
        <v>0</v>
      </c>
      <c r="X88" s="221">
        <v>1</v>
      </c>
      <c r="Y88" s="220">
        <v>75</v>
      </c>
      <c r="Z88" s="213">
        <v>65</v>
      </c>
      <c r="AA88" s="222">
        <v>0.02</v>
      </c>
      <c r="AB88" s="213">
        <v>0</v>
      </c>
      <c r="AC88" s="213">
        <v>0</v>
      </c>
      <c r="AD88" s="212">
        <v>0</v>
      </c>
      <c r="AE88" s="212">
        <v>0</v>
      </c>
    </row>
    <row r="89" spans="1:31">
      <c r="A89" s="211">
        <v>65</v>
      </c>
      <c r="B89" s="212">
        <v>59</v>
      </c>
      <c r="C89" s="213">
        <v>9</v>
      </c>
      <c r="D89" s="213">
        <v>8</v>
      </c>
      <c r="E89" s="213">
        <v>0</v>
      </c>
      <c r="F89" s="213">
        <v>0</v>
      </c>
      <c r="G89" s="223" t="s">
        <v>1478</v>
      </c>
      <c r="H89" s="224">
        <v>0.47</v>
      </c>
      <c r="I89" s="213">
        <v>2</v>
      </c>
      <c r="J89" s="223">
        <v>1</v>
      </c>
      <c r="K89" s="223">
        <v>0</v>
      </c>
      <c r="L89" s="221">
        <v>0.33</v>
      </c>
      <c r="M89" s="220">
        <v>55</v>
      </c>
      <c r="N89" s="213">
        <v>57</v>
      </c>
      <c r="O89" s="225">
        <v>0.02</v>
      </c>
      <c r="P89" s="213">
        <v>0</v>
      </c>
      <c r="Q89" s="213">
        <v>0</v>
      </c>
      <c r="R89" s="220">
        <v>0</v>
      </c>
      <c r="S89" s="220">
        <v>0</v>
      </c>
      <c r="T89" s="212">
        <v>0</v>
      </c>
      <c r="U89" s="224">
        <v>0</v>
      </c>
      <c r="V89" s="213">
        <v>0</v>
      </c>
      <c r="W89" s="213">
        <v>0</v>
      </c>
      <c r="X89" s="221">
        <v>1</v>
      </c>
      <c r="Y89" s="220">
        <v>75</v>
      </c>
      <c r="Z89" s="213">
        <v>65</v>
      </c>
      <c r="AA89" s="222">
        <v>0.02</v>
      </c>
      <c r="AB89" s="213">
        <v>0</v>
      </c>
      <c r="AC89" s="213">
        <v>0</v>
      </c>
      <c r="AD89" s="212">
        <v>0</v>
      </c>
      <c r="AE89" s="212">
        <v>0</v>
      </c>
    </row>
    <row r="90" spans="1:31">
      <c r="A90" s="211">
        <v>64</v>
      </c>
      <c r="B90" s="212">
        <v>58</v>
      </c>
      <c r="C90" s="213">
        <v>312</v>
      </c>
      <c r="D90" s="213">
        <v>148</v>
      </c>
      <c r="E90" s="213">
        <v>0</v>
      </c>
      <c r="F90" s="213">
        <v>15</v>
      </c>
      <c r="G90" s="223" t="s">
        <v>1478</v>
      </c>
      <c r="H90" s="224">
        <v>0.46</v>
      </c>
      <c r="I90" s="213">
        <v>55</v>
      </c>
      <c r="J90" s="223">
        <v>26</v>
      </c>
      <c r="K90" s="223">
        <v>0</v>
      </c>
      <c r="L90" s="221">
        <v>0.4</v>
      </c>
      <c r="M90" s="220">
        <v>55</v>
      </c>
      <c r="N90" s="213">
        <v>57</v>
      </c>
      <c r="O90" s="225">
        <v>0.02</v>
      </c>
      <c r="P90" s="213">
        <v>0</v>
      </c>
      <c r="Q90" s="213">
        <v>0</v>
      </c>
      <c r="R90" s="220">
        <v>0</v>
      </c>
      <c r="S90" s="220">
        <v>0</v>
      </c>
      <c r="T90" s="212">
        <v>0</v>
      </c>
      <c r="U90" s="224">
        <v>0</v>
      </c>
      <c r="V90" s="213">
        <v>0</v>
      </c>
      <c r="W90" s="213">
        <v>0</v>
      </c>
      <c r="X90" s="221">
        <v>0.97</v>
      </c>
      <c r="Y90" s="220">
        <v>75</v>
      </c>
      <c r="Z90" s="213">
        <v>65</v>
      </c>
      <c r="AA90" s="222">
        <v>1.9429999999999999E-2</v>
      </c>
      <c r="AB90" s="213">
        <v>0</v>
      </c>
      <c r="AC90" s="213">
        <v>0</v>
      </c>
      <c r="AD90" s="212">
        <v>0</v>
      </c>
      <c r="AE90" s="212">
        <v>0</v>
      </c>
    </row>
    <row r="91" spans="1:31">
      <c r="A91" s="211">
        <v>63</v>
      </c>
      <c r="B91" s="212">
        <v>58</v>
      </c>
      <c r="C91" s="213">
        <v>18</v>
      </c>
      <c r="D91" s="213">
        <v>12</v>
      </c>
      <c r="E91" s="213">
        <v>0</v>
      </c>
      <c r="F91" s="213">
        <v>0</v>
      </c>
      <c r="G91" s="223" t="s">
        <v>1478</v>
      </c>
      <c r="H91" s="224">
        <v>0.44</v>
      </c>
      <c r="I91" s="213">
        <v>3</v>
      </c>
      <c r="J91" s="223">
        <v>2</v>
      </c>
      <c r="K91" s="223">
        <v>0</v>
      </c>
      <c r="L91" s="221">
        <v>0.47</v>
      </c>
      <c r="M91" s="220">
        <v>55</v>
      </c>
      <c r="N91" s="213">
        <v>57</v>
      </c>
      <c r="O91" s="225">
        <v>0.02</v>
      </c>
      <c r="P91" s="213">
        <v>0</v>
      </c>
      <c r="Q91" s="213">
        <v>0</v>
      </c>
      <c r="R91" s="220">
        <v>0</v>
      </c>
      <c r="S91" s="220">
        <v>0</v>
      </c>
      <c r="T91" s="212">
        <v>0</v>
      </c>
      <c r="U91" s="224">
        <v>0</v>
      </c>
      <c r="V91" s="213">
        <v>0</v>
      </c>
      <c r="W91" s="213">
        <v>0</v>
      </c>
      <c r="X91" s="221">
        <v>0.94</v>
      </c>
      <c r="Y91" s="220">
        <v>75</v>
      </c>
      <c r="Z91" s="213">
        <v>66</v>
      </c>
      <c r="AA91" s="222">
        <v>1.8859999999999998E-2</v>
      </c>
      <c r="AB91" s="213">
        <v>0</v>
      </c>
      <c r="AC91" s="213">
        <v>0</v>
      </c>
      <c r="AD91" s="212">
        <v>0</v>
      </c>
      <c r="AE91" s="212">
        <v>0</v>
      </c>
    </row>
    <row r="92" spans="1:31">
      <c r="A92" s="211">
        <v>62</v>
      </c>
      <c r="B92" s="212">
        <v>57</v>
      </c>
      <c r="C92" s="213">
        <v>344</v>
      </c>
      <c r="D92" s="213">
        <v>142</v>
      </c>
      <c r="E92" s="213">
        <v>0</v>
      </c>
      <c r="F92" s="213">
        <v>9</v>
      </c>
      <c r="G92" s="223" t="s">
        <v>1478</v>
      </c>
      <c r="H92" s="224">
        <v>0.42</v>
      </c>
      <c r="I92" s="213">
        <v>56</v>
      </c>
      <c r="J92" s="223">
        <v>23</v>
      </c>
      <c r="K92" s="223">
        <v>0</v>
      </c>
      <c r="L92" s="221">
        <v>0.53</v>
      </c>
      <c r="M92" s="220">
        <v>55</v>
      </c>
      <c r="N92" s="213">
        <v>58</v>
      </c>
      <c r="O92" s="225">
        <v>0.03</v>
      </c>
      <c r="P92" s="213">
        <v>0</v>
      </c>
      <c r="Q92" s="213">
        <v>0</v>
      </c>
      <c r="R92" s="220">
        <v>0</v>
      </c>
      <c r="S92" s="220">
        <v>0</v>
      </c>
      <c r="T92" s="212">
        <v>0</v>
      </c>
      <c r="U92" s="224">
        <v>0</v>
      </c>
      <c r="V92" s="213">
        <v>0</v>
      </c>
      <c r="W92" s="213">
        <v>0</v>
      </c>
      <c r="X92" s="221">
        <v>0.91</v>
      </c>
      <c r="Y92" s="220">
        <v>75</v>
      </c>
      <c r="Z92" s="213">
        <v>66</v>
      </c>
      <c r="AA92" s="222">
        <v>1.8290000000000001E-2</v>
      </c>
      <c r="AB92" s="213">
        <v>0</v>
      </c>
      <c r="AC92" s="213">
        <v>0</v>
      </c>
      <c r="AD92" s="212">
        <v>0</v>
      </c>
      <c r="AE92" s="212">
        <v>0</v>
      </c>
    </row>
    <row r="93" spans="1:31">
      <c r="A93" s="211">
        <v>61</v>
      </c>
      <c r="B93" s="212">
        <v>56</v>
      </c>
      <c r="C93" s="213">
        <v>23</v>
      </c>
      <c r="D93" s="213">
        <v>11</v>
      </c>
      <c r="E93" s="213">
        <v>0</v>
      </c>
      <c r="F93" s="213">
        <v>0</v>
      </c>
      <c r="G93" s="223" t="s">
        <v>1478</v>
      </c>
      <c r="H93" s="224">
        <v>0.4</v>
      </c>
      <c r="I93" s="213">
        <v>4</v>
      </c>
      <c r="J93" s="223">
        <v>2</v>
      </c>
      <c r="K93" s="223">
        <v>0</v>
      </c>
      <c r="L93" s="221">
        <v>0.6</v>
      </c>
      <c r="M93" s="220">
        <v>55</v>
      </c>
      <c r="N93" s="213">
        <v>58</v>
      </c>
      <c r="O93" s="225">
        <v>0.03</v>
      </c>
      <c r="P93" s="213">
        <v>0</v>
      </c>
      <c r="Q93" s="213">
        <v>0</v>
      </c>
      <c r="R93" s="220">
        <v>0</v>
      </c>
      <c r="S93" s="220">
        <v>0</v>
      </c>
      <c r="T93" s="212">
        <v>0</v>
      </c>
      <c r="U93" s="224">
        <v>0</v>
      </c>
      <c r="V93" s="213">
        <v>0</v>
      </c>
      <c r="W93" s="213">
        <v>0</v>
      </c>
      <c r="X93" s="221">
        <v>0.89</v>
      </c>
      <c r="Y93" s="220">
        <v>75</v>
      </c>
      <c r="Z93" s="213">
        <v>66</v>
      </c>
      <c r="AA93" s="222">
        <v>1.771E-2</v>
      </c>
      <c r="AB93" s="213">
        <v>0</v>
      </c>
      <c r="AC93" s="213">
        <v>0</v>
      </c>
      <c r="AD93" s="212">
        <v>0</v>
      </c>
      <c r="AE93" s="212">
        <v>0</v>
      </c>
    </row>
    <row r="94" spans="1:31">
      <c r="A94" s="211">
        <v>60</v>
      </c>
      <c r="B94" s="212">
        <v>55</v>
      </c>
      <c r="C94" s="213">
        <v>353</v>
      </c>
      <c r="D94" s="213">
        <v>138</v>
      </c>
      <c r="E94" s="213">
        <v>0</v>
      </c>
      <c r="F94" s="213">
        <v>6</v>
      </c>
      <c r="G94" s="223" t="s">
        <v>1478</v>
      </c>
      <c r="H94" s="224">
        <v>0.39</v>
      </c>
      <c r="I94" s="213">
        <v>53</v>
      </c>
      <c r="J94" s="223">
        <v>21</v>
      </c>
      <c r="K94" s="223">
        <v>0</v>
      </c>
      <c r="L94" s="221">
        <v>0.67</v>
      </c>
      <c r="M94" s="220">
        <v>55</v>
      </c>
      <c r="N94" s="213">
        <v>58</v>
      </c>
      <c r="O94" s="225">
        <v>0.03</v>
      </c>
      <c r="P94" s="213">
        <v>0</v>
      </c>
      <c r="Q94" s="213">
        <v>0</v>
      </c>
      <c r="R94" s="220">
        <v>0</v>
      </c>
      <c r="S94" s="220">
        <v>0</v>
      </c>
      <c r="T94" s="212">
        <v>0</v>
      </c>
      <c r="U94" s="224">
        <v>0</v>
      </c>
      <c r="V94" s="213">
        <v>0</v>
      </c>
      <c r="W94" s="213">
        <v>0</v>
      </c>
      <c r="X94" s="221">
        <v>0.86</v>
      </c>
      <c r="Y94" s="220">
        <v>75</v>
      </c>
      <c r="Z94" s="213">
        <v>66</v>
      </c>
      <c r="AA94" s="222">
        <v>1.7139999999999999E-2</v>
      </c>
      <c r="AB94" s="213">
        <v>0</v>
      </c>
      <c r="AC94" s="213">
        <v>0</v>
      </c>
      <c r="AD94" s="212">
        <v>0</v>
      </c>
      <c r="AE94" s="212">
        <v>0</v>
      </c>
    </row>
    <row r="95" spans="1:31">
      <c r="A95" s="211">
        <v>59</v>
      </c>
      <c r="B95" s="212">
        <v>54</v>
      </c>
      <c r="C95" s="213">
        <v>158</v>
      </c>
      <c r="D95" s="213">
        <v>4</v>
      </c>
      <c r="E95" s="213">
        <v>0</v>
      </c>
      <c r="F95" s="213">
        <v>3</v>
      </c>
      <c r="G95" s="223" t="s">
        <v>1478</v>
      </c>
      <c r="H95" s="224">
        <v>0.37</v>
      </c>
      <c r="I95" s="213">
        <v>23</v>
      </c>
      <c r="J95" s="223">
        <v>1</v>
      </c>
      <c r="K95" s="223">
        <v>0</v>
      </c>
      <c r="L95" s="221">
        <v>0.73</v>
      </c>
      <c r="M95" s="220">
        <v>55</v>
      </c>
      <c r="N95" s="213">
        <v>59</v>
      </c>
      <c r="O95" s="225">
        <v>0.04</v>
      </c>
      <c r="P95" s="213">
        <v>0</v>
      </c>
      <c r="Q95" s="213">
        <v>0</v>
      </c>
      <c r="R95" s="220">
        <v>0</v>
      </c>
      <c r="S95" s="220">
        <v>0</v>
      </c>
      <c r="T95" s="212">
        <v>0</v>
      </c>
      <c r="U95" s="224">
        <v>0.02</v>
      </c>
      <c r="V95" s="213">
        <v>1</v>
      </c>
      <c r="W95" s="213">
        <v>0</v>
      </c>
      <c r="X95" s="221">
        <v>0.83</v>
      </c>
      <c r="Y95" s="220">
        <v>75</v>
      </c>
      <c r="Z95" s="213">
        <v>67</v>
      </c>
      <c r="AA95" s="222">
        <v>1.6570000000000001E-2</v>
      </c>
      <c r="AB95" s="213">
        <v>0</v>
      </c>
      <c r="AC95" s="213">
        <v>0</v>
      </c>
      <c r="AD95" s="212">
        <v>1.9999999999999999E-6</v>
      </c>
      <c r="AE95" s="212">
        <v>1.9999999999999999E-6</v>
      </c>
    </row>
    <row r="96" spans="1:31">
      <c r="A96" s="211">
        <v>58</v>
      </c>
      <c r="B96" s="212">
        <v>52</v>
      </c>
      <c r="C96" s="213">
        <v>21</v>
      </c>
      <c r="D96" s="213">
        <v>65</v>
      </c>
      <c r="E96" s="213">
        <v>0</v>
      </c>
      <c r="F96" s="213">
        <v>0</v>
      </c>
      <c r="G96" s="223" t="s">
        <v>1478</v>
      </c>
      <c r="H96" s="224">
        <v>0.35</v>
      </c>
      <c r="I96" s="213">
        <v>3</v>
      </c>
      <c r="J96" s="223">
        <v>9</v>
      </c>
      <c r="K96" s="223">
        <v>0</v>
      </c>
      <c r="L96" s="221">
        <v>0.8</v>
      </c>
      <c r="M96" s="220">
        <v>55</v>
      </c>
      <c r="N96" s="213">
        <v>59</v>
      </c>
      <c r="O96" s="225">
        <v>0.04</v>
      </c>
      <c r="P96" s="213">
        <v>0</v>
      </c>
      <c r="Q96" s="213">
        <v>0</v>
      </c>
      <c r="R96" s="220">
        <v>0</v>
      </c>
      <c r="S96" s="220">
        <v>0</v>
      </c>
      <c r="T96" s="212">
        <v>0</v>
      </c>
      <c r="U96" s="224">
        <v>0.03</v>
      </c>
      <c r="V96" s="213">
        <v>0</v>
      </c>
      <c r="W96" s="213">
        <v>0</v>
      </c>
      <c r="X96" s="221">
        <v>0.8</v>
      </c>
      <c r="Y96" s="220">
        <v>75</v>
      </c>
      <c r="Z96" s="213">
        <v>67</v>
      </c>
      <c r="AA96" s="222">
        <v>1.6E-2</v>
      </c>
      <c r="AB96" s="213">
        <v>0</v>
      </c>
      <c r="AC96" s="213">
        <v>0</v>
      </c>
      <c r="AD96" s="212">
        <v>9.9999999999999995E-7</v>
      </c>
      <c r="AE96" s="212">
        <v>9.9999999999999995E-7</v>
      </c>
    </row>
    <row r="97" spans="1:31">
      <c r="A97" s="211">
        <v>57</v>
      </c>
      <c r="B97" s="212">
        <v>51</v>
      </c>
      <c r="C97" s="213">
        <v>310</v>
      </c>
      <c r="D97" s="213">
        <v>103</v>
      </c>
      <c r="E97" s="213">
        <v>0</v>
      </c>
      <c r="F97" s="213">
        <v>1</v>
      </c>
      <c r="G97" s="223" t="s">
        <v>1478</v>
      </c>
      <c r="H97" s="224">
        <v>0.33</v>
      </c>
      <c r="I97" s="213">
        <v>40</v>
      </c>
      <c r="J97" s="223">
        <v>13</v>
      </c>
      <c r="K97" s="223">
        <v>0</v>
      </c>
      <c r="L97" s="221">
        <v>0.87</v>
      </c>
      <c r="M97" s="220">
        <v>55</v>
      </c>
      <c r="N97" s="213">
        <v>59</v>
      </c>
      <c r="O97" s="225">
        <v>0.04</v>
      </c>
      <c r="P97" s="213">
        <v>0</v>
      </c>
      <c r="Q97" s="213">
        <v>0</v>
      </c>
      <c r="R97" s="220">
        <v>0</v>
      </c>
      <c r="S97" s="220">
        <v>0</v>
      </c>
      <c r="T97" s="212">
        <v>0</v>
      </c>
      <c r="U97" s="224">
        <v>0.05</v>
      </c>
      <c r="V97" s="213">
        <v>9</v>
      </c>
      <c r="W97" s="213">
        <v>0</v>
      </c>
      <c r="X97" s="221">
        <v>0.77</v>
      </c>
      <c r="Y97" s="220">
        <v>75</v>
      </c>
      <c r="Z97" s="213">
        <v>67</v>
      </c>
      <c r="AA97" s="222">
        <v>1.5429999999999999E-2</v>
      </c>
      <c r="AB97" s="213">
        <v>0</v>
      </c>
      <c r="AC97" s="213">
        <v>0</v>
      </c>
      <c r="AD97" s="212">
        <v>1.2E-5</v>
      </c>
      <c r="AE97" s="212">
        <v>1.1E-5</v>
      </c>
    </row>
    <row r="98" spans="1:31">
      <c r="A98" s="211">
        <v>56</v>
      </c>
      <c r="B98" s="212">
        <v>51</v>
      </c>
      <c r="C98" s="213">
        <v>25</v>
      </c>
      <c r="D98" s="213">
        <v>11</v>
      </c>
      <c r="E98" s="213">
        <v>0</v>
      </c>
      <c r="F98" s="213">
        <v>0</v>
      </c>
      <c r="G98" s="223" t="s">
        <v>1478</v>
      </c>
      <c r="H98" s="224">
        <v>0.32</v>
      </c>
      <c r="I98" s="213">
        <v>3</v>
      </c>
      <c r="J98" s="223">
        <v>1</v>
      </c>
      <c r="K98" s="223">
        <v>0</v>
      </c>
      <c r="L98" s="221">
        <v>0.93</v>
      </c>
      <c r="M98" s="220">
        <v>55</v>
      </c>
      <c r="N98" s="213">
        <v>60</v>
      </c>
      <c r="O98" s="225">
        <v>0.05</v>
      </c>
      <c r="P98" s="213">
        <v>0</v>
      </c>
      <c r="Q98" s="213">
        <v>0</v>
      </c>
      <c r="R98" s="220">
        <v>0</v>
      </c>
      <c r="S98" s="220">
        <v>0</v>
      </c>
      <c r="T98" s="212">
        <v>0</v>
      </c>
      <c r="U98" s="224">
        <v>7.0000000000000007E-2</v>
      </c>
      <c r="V98" s="213">
        <v>1</v>
      </c>
      <c r="W98" s="213">
        <v>0</v>
      </c>
      <c r="X98" s="221">
        <v>0.74</v>
      </c>
      <c r="Y98" s="220">
        <v>75</v>
      </c>
      <c r="Z98" s="213">
        <v>68</v>
      </c>
      <c r="AA98" s="222">
        <v>1.486E-2</v>
      </c>
      <c r="AB98" s="213">
        <v>0</v>
      </c>
      <c r="AC98" s="213">
        <v>0</v>
      </c>
      <c r="AD98" s="212">
        <v>9.9999999999999995E-7</v>
      </c>
      <c r="AE98" s="212">
        <v>9.9999999999999995E-7</v>
      </c>
    </row>
    <row r="99" spans="1:31">
      <c r="A99" s="211">
        <v>55</v>
      </c>
      <c r="B99" s="212">
        <v>51</v>
      </c>
      <c r="C99" s="213">
        <v>279</v>
      </c>
      <c r="D99" s="213">
        <v>92</v>
      </c>
      <c r="E99" s="213">
        <v>2</v>
      </c>
      <c r="F99" s="213">
        <v>3</v>
      </c>
      <c r="G99" s="223" t="s">
        <v>1478</v>
      </c>
      <c r="H99" s="224">
        <v>0.3</v>
      </c>
      <c r="I99" s="213">
        <v>32</v>
      </c>
      <c r="J99" s="223">
        <v>11</v>
      </c>
      <c r="K99" s="223">
        <v>0</v>
      </c>
      <c r="L99" s="221">
        <v>1</v>
      </c>
      <c r="M99" s="220">
        <v>55</v>
      </c>
      <c r="N99" s="213">
        <v>60</v>
      </c>
      <c r="O99" s="225">
        <v>0.05</v>
      </c>
      <c r="P99" s="213">
        <v>0</v>
      </c>
      <c r="Q99" s="213">
        <v>0</v>
      </c>
      <c r="R99" s="220">
        <v>0</v>
      </c>
      <c r="S99" s="220">
        <v>0</v>
      </c>
      <c r="T99" s="212">
        <v>0</v>
      </c>
      <c r="U99" s="224">
        <v>0.08</v>
      </c>
      <c r="V99" s="213">
        <v>13</v>
      </c>
      <c r="W99" s="213">
        <v>0</v>
      </c>
      <c r="X99" s="221">
        <v>0.71</v>
      </c>
      <c r="Y99" s="220">
        <v>75</v>
      </c>
      <c r="Z99" s="213">
        <v>68</v>
      </c>
      <c r="AA99" s="222">
        <v>1.4290000000000001E-2</v>
      </c>
      <c r="AB99" s="213">
        <v>0</v>
      </c>
      <c r="AC99" s="213">
        <v>0</v>
      </c>
      <c r="AD99" s="212">
        <v>1.7E-5</v>
      </c>
      <c r="AE99" s="212">
        <v>1.5E-5</v>
      </c>
    </row>
    <row r="100" spans="1:31">
      <c r="A100" s="211">
        <v>54</v>
      </c>
      <c r="B100" s="212">
        <v>49</v>
      </c>
      <c r="C100" s="213">
        <v>14</v>
      </c>
      <c r="D100" s="213">
        <v>6</v>
      </c>
      <c r="E100" s="213">
        <v>0</v>
      </c>
      <c r="F100" s="213">
        <v>0</v>
      </c>
      <c r="G100" s="223" t="s">
        <v>1478</v>
      </c>
      <c r="H100" s="224">
        <v>0.28000000000000003</v>
      </c>
      <c r="I100" s="213">
        <v>2</v>
      </c>
      <c r="J100" s="223">
        <v>1</v>
      </c>
      <c r="K100" s="223">
        <v>0</v>
      </c>
      <c r="L100" s="221">
        <v>1</v>
      </c>
      <c r="M100" s="220">
        <v>55</v>
      </c>
      <c r="N100" s="213">
        <v>60</v>
      </c>
      <c r="O100" s="225">
        <v>0.05</v>
      </c>
      <c r="P100" s="213">
        <v>0</v>
      </c>
      <c r="Q100" s="213">
        <v>0</v>
      </c>
      <c r="R100" s="220">
        <v>0</v>
      </c>
      <c r="S100" s="220">
        <v>0</v>
      </c>
      <c r="T100" s="212">
        <v>0</v>
      </c>
      <c r="U100" s="224">
        <v>0.1</v>
      </c>
      <c r="V100" s="213">
        <v>1</v>
      </c>
      <c r="W100" s="213">
        <v>0</v>
      </c>
      <c r="X100" s="221">
        <v>0.69</v>
      </c>
      <c r="Y100" s="220">
        <v>75</v>
      </c>
      <c r="Z100" s="213">
        <v>68</v>
      </c>
      <c r="AA100" s="222">
        <v>1.371E-2</v>
      </c>
      <c r="AB100" s="213">
        <v>0</v>
      </c>
      <c r="AC100" s="213">
        <v>0</v>
      </c>
      <c r="AD100" s="212">
        <v>9.9999999999999995E-7</v>
      </c>
      <c r="AE100" s="212">
        <v>9.9999999999999995E-7</v>
      </c>
    </row>
    <row r="101" spans="1:31">
      <c r="A101" s="211">
        <v>53</v>
      </c>
      <c r="B101" s="212">
        <v>48</v>
      </c>
      <c r="C101" s="213">
        <v>247</v>
      </c>
      <c r="D101" s="213">
        <v>116</v>
      </c>
      <c r="E101" s="213">
        <v>0</v>
      </c>
      <c r="F101" s="213">
        <v>1</v>
      </c>
      <c r="G101" s="223" t="s">
        <v>1478</v>
      </c>
      <c r="H101" s="224">
        <v>0.26</v>
      </c>
      <c r="I101" s="213">
        <v>25</v>
      </c>
      <c r="J101" s="223">
        <v>12</v>
      </c>
      <c r="K101" s="223">
        <v>0</v>
      </c>
      <c r="L101" s="221">
        <v>1</v>
      </c>
      <c r="M101" s="220">
        <v>55</v>
      </c>
      <c r="N101" s="213">
        <v>60</v>
      </c>
      <c r="O101" s="225">
        <v>0.05</v>
      </c>
      <c r="P101" s="213">
        <v>0</v>
      </c>
      <c r="Q101" s="213">
        <v>0</v>
      </c>
      <c r="R101" s="220">
        <v>0</v>
      </c>
      <c r="S101" s="220">
        <v>0</v>
      </c>
      <c r="T101" s="212">
        <v>0</v>
      </c>
      <c r="U101" s="224">
        <v>0.12</v>
      </c>
      <c r="V101" s="213">
        <v>16</v>
      </c>
      <c r="W101" s="213">
        <v>0</v>
      </c>
      <c r="X101" s="221">
        <v>0.66</v>
      </c>
      <c r="Y101" s="220">
        <v>75</v>
      </c>
      <c r="Z101" s="213">
        <v>68</v>
      </c>
      <c r="AA101" s="222">
        <v>1.3140000000000001E-2</v>
      </c>
      <c r="AB101" s="213">
        <v>0</v>
      </c>
      <c r="AC101" s="213">
        <v>0</v>
      </c>
      <c r="AD101" s="212">
        <v>2.0000000000000002E-5</v>
      </c>
      <c r="AE101" s="212">
        <v>1.8E-5</v>
      </c>
    </row>
    <row r="102" spans="1:31">
      <c r="A102" s="211">
        <v>52</v>
      </c>
      <c r="B102" s="212">
        <v>47</v>
      </c>
      <c r="C102" s="213">
        <v>11</v>
      </c>
      <c r="D102" s="213">
        <v>3</v>
      </c>
      <c r="E102" s="213">
        <v>0</v>
      </c>
      <c r="F102" s="213">
        <v>0</v>
      </c>
      <c r="G102" s="223" t="s">
        <v>1478</v>
      </c>
      <c r="H102" s="224">
        <v>0.25</v>
      </c>
      <c r="I102" s="213">
        <v>1</v>
      </c>
      <c r="J102" s="223">
        <v>0</v>
      </c>
      <c r="K102" s="223">
        <v>0</v>
      </c>
      <c r="L102" s="221">
        <v>1</v>
      </c>
      <c r="M102" s="220">
        <v>55</v>
      </c>
      <c r="N102" s="213">
        <v>60</v>
      </c>
      <c r="O102" s="225">
        <v>0.05</v>
      </c>
      <c r="P102" s="213">
        <v>0</v>
      </c>
      <c r="Q102" s="213">
        <v>0</v>
      </c>
      <c r="R102" s="220">
        <v>0</v>
      </c>
      <c r="S102" s="220">
        <v>0</v>
      </c>
      <c r="T102" s="212">
        <v>0</v>
      </c>
      <c r="U102" s="224">
        <v>0.13</v>
      </c>
      <c r="V102" s="213">
        <v>1</v>
      </c>
      <c r="W102" s="213">
        <v>0</v>
      </c>
      <c r="X102" s="221">
        <v>0.63</v>
      </c>
      <c r="Y102" s="220">
        <v>75</v>
      </c>
      <c r="Z102" s="213">
        <v>69</v>
      </c>
      <c r="AA102" s="222">
        <v>1.257E-2</v>
      </c>
      <c r="AB102" s="213">
        <v>0</v>
      </c>
      <c r="AC102" s="213">
        <v>0</v>
      </c>
      <c r="AD102" s="212">
        <v>9.9999999999999995E-7</v>
      </c>
      <c r="AE102" s="212">
        <v>9.9999999999999995E-7</v>
      </c>
    </row>
    <row r="103" spans="1:31">
      <c r="A103" s="211">
        <v>51</v>
      </c>
      <c r="B103" s="212">
        <v>46</v>
      </c>
      <c r="C103" s="213">
        <v>257</v>
      </c>
      <c r="D103" s="213">
        <v>103</v>
      </c>
      <c r="E103" s="213">
        <v>1</v>
      </c>
      <c r="F103" s="213">
        <v>4</v>
      </c>
      <c r="G103" s="223" t="s">
        <v>1478</v>
      </c>
      <c r="H103" s="224">
        <v>0.23</v>
      </c>
      <c r="I103" s="213">
        <v>23</v>
      </c>
      <c r="J103" s="223">
        <v>9</v>
      </c>
      <c r="K103" s="223">
        <v>0</v>
      </c>
      <c r="L103" s="221">
        <v>1</v>
      </c>
      <c r="M103" s="220">
        <v>55</v>
      </c>
      <c r="N103" s="213">
        <v>60</v>
      </c>
      <c r="O103" s="225">
        <v>0.05</v>
      </c>
      <c r="P103" s="213">
        <v>0</v>
      </c>
      <c r="Q103" s="213">
        <v>0</v>
      </c>
      <c r="R103" s="220">
        <v>0</v>
      </c>
      <c r="S103" s="220">
        <v>0</v>
      </c>
      <c r="T103" s="212">
        <v>0</v>
      </c>
      <c r="U103" s="224">
        <v>0.15</v>
      </c>
      <c r="V103" s="213">
        <v>21</v>
      </c>
      <c r="W103" s="213">
        <v>0</v>
      </c>
      <c r="X103" s="221">
        <v>0.6</v>
      </c>
      <c r="Y103" s="220">
        <v>75</v>
      </c>
      <c r="Z103" s="213">
        <v>69</v>
      </c>
      <c r="AA103" s="222">
        <v>1.2E-2</v>
      </c>
      <c r="AB103" s="213">
        <v>0</v>
      </c>
      <c r="AC103" s="213">
        <v>0</v>
      </c>
      <c r="AD103" s="212">
        <v>2.4000000000000001E-5</v>
      </c>
      <c r="AE103" s="212">
        <v>2.0999999999999999E-5</v>
      </c>
    </row>
    <row r="104" spans="1:31">
      <c r="A104" s="211">
        <v>50</v>
      </c>
      <c r="B104" s="212">
        <v>46</v>
      </c>
      <c r="C104" s="213">
        <v>117</v>
      </c>
      <c r="D104" s="213">
        <v>2</v>
      </c>
      <c r="E104" s="213">
        <v>1</v>
      </c>
      <c r="F104" s="213">
        <v>0</v>
      </c>
      <c r="G104" s="223" t="s">
        <v>1478</v>
      </c>
      <c r="H104" s="224">
        <v>0.21</v>
      </c>
      <c r="I104" s="213">
        <v>10</v>
      </c>
      <c r="J104" s="223">
        <v>0</v>
      </c>
      <c r="K104" s="223">
        <v>0</v>
      </c>
      <c r="L104" s="221">
        <v>1</v>
      </c>
      <c r="M104" s="220">
        <v>55</v>
      </c>
      <c r="N104" s="213">
        <v>60</v>
      </c>
      <c r="O104" s="225">
        <v>0.05</v>
      </c>
      <c r="P104" s="213">
        <v>0</v>
      </c>
      <c r="Q104" s="213">
        <v>0</v>
      </c>
      <c r="R104" s="220">
        <v>0</v>
      </c>
      <c r="S104" s="220">
        <v>0</v>
      </c>
      <c r="T104" s="212">
        <v>0</v>
      </c>
      <c r="U104" s="224">
        <v>0.17</v>
      </c>
      <c r="V104" s="213">
        <v>11</v>
      </c>
      <c r="W104" s="213">
        <v>0</v>
      </c>
      <c r="X104" s="221">
        <v>0.56999999999999995</v>
      </c>
      <c r="Y104" s="220">
        <v>75</v>
      </c>
      <c r="Z104" s="213">
        <v>69</v>
      </c>
      <c r="AA104" s="222">
        <v>1.1429999999999999E-2</v>
      </c>
      <c r="AB104" s="213">
        <v>0</v>
      </c>
      <c r="AC104" s="213">
        <v>0</v>
      </c>
      <c r="AD104" s="212">
        <v>1.2E-5</v>
      </c>
      <c r="AE104" s="212">
        <v>1.0000000000000001E-5</v>
      </c>
    </row>
    <row r="105" spans="1:31">
      <c r="A105" s="211">
        <v>49</v>
      </c>
      <c r="B105" s="212">
        <v>44</v>
      </c>
      <c r="C105" s="213">
        <v>17</v>
      </c>
      <c r="D105" s="213">
        <v>38</v>
      </c>
      <c r="E105" s="213">
        <v>0</v>
      </c>
      <c r="F105" s="213">
        <v>0</v>
      </c>
      <c r="G105" s="223" t="s">
        <v>1478</v>
      </c>
      <c r="H105" s="224">
        <v>0.19</v>
      </c>
      <c r="I105" s="213">
        <v>1</v>
      </c>
      <c r="J105" s="223">
        <v>3</v>
      </c>
      <c r="K105" s="223">
        <v>0</v>
      </c>
      <c r="L105" s="221">
        <v>1</v>
      </c>
      <c r="M105" s="220">
        <v>55</v>
      </c>
      <c r="N105" s="213">
        <v>60</v>
      </c>
      <c r="O105" s="225">
        <v>0.05</v>
      </c>
      <c r="P105" s="213">
        <v>0</v>
      </c>
      <c r="Q105" s="213">
        <v>0</v>
      </c>
      <c r="R105" s="220">
        <v>0</v>
      </c>
      <c r="S105" s="220">
        <v>0</v>
      </c>
      <c r="T105" s="212">
        <v>0</v>
      </c>
      <c r="U105" s="224">
        <v>0.18</v>
      </c>
      <c r="V105" s="213">
        <v>2</v>
      </c>
      <c r="W105" s="213">
        <v>0</v>
      </c>
      <c r="X105" s="221">
        <v>0.54</v>
      </c>
      <c r="Y105" s="220">
        <v>75</v>
      </c>
      <c r="Z105" s="213">
        <v>70</v>
      </c>
      <c r="AA105" s="222">
        <v>1.086E-2</v>
      </c>
      <c r="AB105" s="213">
        <v>0</v>
      </c>
      <c r="AC105" s="213">
        <v>0</v>
      </c>
      <c r="AD105" s="212">
        <v>1.9999999999999999E-6</v>
      </c>
      <c r="AE105" s="212">
        <v>1.9999999999999999E-6</v>
      </c>
    </row>
    <row r="106" spans="1:31">
      <c r="A106" s="211">
        <v>48</v>
      </c>
      <c r="B106" s="212">
        <v>43</v>
      </c>
      <c r="C106" s="213">
        <v>212</v>
      </c>
      <c r="D106" s="213">
        <v>84</v>
      </c>
      <c r="E106" s="213">
        <v>0</v>
      </c>
      <c r="F106" s="213">
        <v>0</v>
      </c>
      <c r="G106" s="223" t="s">
        <v>1478</v>
      </c>
      <c r="H106" s="224">
        <v>0.18</v>
      </c>
      <c r="I106" s="213">
        <v>14</v>
      </c>
      <c r="J106" s="223">
        <v>6</v>
      </c>
      <c r="K106" s="223">
        <v>0</v>
      </c>
      <c r="L106" s="221">
        <v>1</v>
      </c>
      <c r="M106" s="220">
        <v>55</v>
      </c>
      <c r="N106" s="213">
        <v>60</v>
      </c>
      <c r="O106" s="225">
        <v>0.05</v>
      </c>
      <c r="P106" s="213">
        <v>0</v>
      </c>
      <c r="Q106" s="213">
        <v>0</v>
      </c>
      <c r="R106" s="220">
        <v>0</v>
      </c>
      <c r="S106" s="220">
        <v>0</v>
      </c>
      <c r="T106" s="212">
        <v>0</v>
      </c>
      <c r="U106" s="224">
        <v>0.2</v>
      </c>
      <c r="V106" s="213">
        <v>23</v>
      </c>
      <c r="W106" s="213">
        <v>0</v>
      </c>
      <c r="X106" s="221">
        <v>0.51</v>
      </c>
      <c r="Y106" s="220">
        <v>75</v>
      </c>
      <c r="Z106" s="213">
        <v>70</v>
      </c>
      <c r="AA106" s="222">
        <v>1.0290000000000001E-2</v>
      </c>
      <c r="AB106" s="213">
        <v>0</v>
      </c>
      <c r="AC106" s="213">
        <v>0</v>
      </c>
      <c r="AD106" s="212">
        <v>2.3E-5</v>
      </c>
      <c r="AE106" s="212">
        <v>2.0000000000000002E-5</v>
      </c>
    </row>
    <row r="107" spans="1:31">
      <c r="A107" s="211">
        <v>47</v>
      </c>
      <c r="B107" s="212">
        <v>42</v>
      </c>
      <c r="C107" s="213">
        <v>12</v>
      </c>
      <c r="D107" s="213">
        <v>1</v>
      </c>
      <c r="E107" s="213">
        <v>1</v>
      </c>
      <c r="F107" s="213">
        <v>0</v>
      </c>
      <c r="G107" s="223" t="s">
        <v>1478</v>
      </c>
      <c r="H107" s="224">
        <v>0.16</v>
      </c>
      <c r="I107" s="213">
        <v>1</v>
      </c>
      <c r="J107" s="223">
        <v>0</v>
      </c>
      <c r="K107" s="223">
        <v>0</v>
      </c>
      <c r="L107" s="221">
        <v>1</v>
      </c>
      <c r="M107" s="220">
        <v>55</v>
      </c>
      <c r="N107" s="213">
        <v>60</v>
      </c>
      <c r="O107" s="225">
        <v>0.05</v>
      </c>
      <c r="P107" s="213">
        <v>0</v>
      </c>
      <c r="Q107" s="213">
        <v>0</v>
      </c>
      <c r="R107" s="220">
        <v>0</v>
      </c>
      <c r="S107" s="220">
        <v>0</v>
      </c>
      <c r="T107" s="212">
        <v>0</v>
      </c>
      <c r="U107" s="224">
        <v>0.22</v>
      </c>
      <c r="V107" s="213">
        <v>1</v>
      </c>
      <c r="W107" s="213">
        <v>0</v>
      </c>
      <c r="X107" s="221">
        <v>0.49</v>
      </c>
      <c r="Y107" s="220">
        <v>75</v>
      </c>
      <c r="Z107" s="213">
        <v>70</v>
      </c>
      <c r="AA107" s="222">
        <v>9.7099999999999999E-3</v>
      </c>
      <c r="AB107" s="213">
        <v>0</v>
      </c>
      <c r="AC107" s="213">
        <v>0</v>
      </c>
      <c r="AD107" s="212">
        <v>9.9999999999999995E-7</v>
      </c>
      <c r="AE107" s="212">
        <v>9.9999999999999995E-7</v>
      </c>
    </row>
    <row r="108" spans="1:31">
      <c r="A108" s="211">
        <v>46</v>
      </c>
      <c r="B108" s="212">
        <v>41</v>
      </c>
      <c r="C108" s="213">
        <v>215</v>
      </c>
      <c r="D108" s="213">
        <v>97</v>
      </c>
      <c r="E108" s="213">
        <v>1</v>
      </c>
      <c r="F108" s="213">
        <v>0</v>
      </c>
      <c r="G108" s="223" t="s">
        <v>1478</v>
      </c>
      <c r="H108" s="224">
        <v>0.14000000000000001</v>
      </c>
      <c r="I108" s="213">
        <v>12</v>
      </c>
      <c r="J108" s="223">
        <v>5</v>
      </c>
      <c r="K108" s="223">
        <v>0</v>
      </c>
      <c r="L108" s="221">
        <v>1</v>
      </c>
      <c r="M108" s="220">
        <v>55</v>
      </c>
      <c r="N108" s="213">
        <v>60</v>
      </c>
      <c r="O108" s="225">
        <v>0.05</v>
      </c>
      <c r="P108" s="213">
        <v>0</v>
      </c>
      <c r="Q108" s="213">
        <v>0</v>
      </c>
      <c r="R108" s="220">
        <v>0</v>
      </c>
      <c r="S108" s="220">
        <v>0</v>
      </c>
      <c r="T108" s="212">
        <v>0</v>
      </c>
      <c r="U108" s="224">
        <v>0.23</v>
      </c>
      <c r="V108" s="213">
        <v>28</v>
      </c>
      <c r="W108" s="213">
        <v>0</v>
      </c>
      <c r="X108" s="221">
        <v>0.46</v>
      </c>
      <c r="Y108" s="220">
        <v>75</v>
      </c>
      <c r="Z108" s="213">
        <v>70</v>
      </c>
      <c r="AA108" s="222">
        <v>9.1400000000000006E-3</v>
      </c>
      <c r="AB108" s="213">
        <v>0</v>
      </c>
      <c r="AC108" s="213">
        <v>0</v>
      </c>
      <c r="AD108" s="212">
        <v>2.4000000000000001E-5</v>
      </c>
      <c r="AE108" s="212">
        <v>2.0999999999999999E-5</v>
      </c>
    </row>
    <row r="109" spans="1:31">
      <c r="A109" s="211">
        <v>45</v>
      </c>
      <c r="B109" s="212">
        <v>41</v>
      </c>
      <c r="C109" s="213">
        <v>3</v>
      </c>
      <c r="D109" s="213">
        <v>3</v>
      </c>
      <c r="E109" s="213">
        <v>0</v>
      </c>
      <c r="F109" s="213">
        <v>0</v>
      </c>
      <c r="G109" s="223" t="s">
        <v>1478</v>
      </c>
      <c r="H109" s="224">
        <v>0.12</v>
      </c>
      <c r="I109" s="213">
        <v>0</v>
      </c>
      <c r="J109" s="223">
        <v>0</v>
      </c>
      <c r="K109" s="223">
        <v>0</v>
      </c>
      <c r="L109" s="221">
        <v>1</v>
      </c>
      <c r="M109" s="220">
        <v>55</v>
      </c>
      <c r="N109" s="213">
        <v>60</v>
      </c>
      <c r="O109" s="225">
        <v>0.05</v>
      </c>
      <c r="P109" s="213">
        <v>0</v>
      </c>
      <c r="Q109" s="213">
        <v>0</v>
      </c>
      <c r="R109" s="220">
        <v>0</v>
      </c>
      <c r="S109" s="220">
        <v>0</v>
      </c>
      <c r="T109" s="212">
        <v>0</v>
      </c>
      <c r="U109" s="224">
        <v>0.25</v>
      </c>
      <c r="V109" s="213">
        <v>0</v>
      </c>
      <c r="W109" s="213">
        <v>0</v>
      </c>
      <c r="X109" s="221">
        <v>0.43</v>
      </c>
      <c r="Y109" s="220">
        <v>75</v>
      </c>
      <c r="Z109" s="213">
        <v>71</v>
      </c>
      <c r="AA109" s="222">
        <v>8.5699999999999995E-3</v>
      </c>
      <c r="AB109" s="213">
        <v>0</v>
      </c>
      <c r="AC109" s="213">
        <v>0</v>
      </c>
      <c r="AD109" s="212">
        <v>0</v>
      </c>
      <c r="AE109" s="212">
        <v>0</v>
      </c>
    </row>
    <row r="110" spans="1:31">
      <c r="A110" s="211">
        <v>44</v>
      </c>
      <c r="B110" s="212">
        <v>39</v>
      </c>
      <c r="C110" s="213">
        <v>246</v>
      </c>
      <c r="D110" s="213">
        <v>116</v>
      </c>
      <c r="E110" s="213">
        <v>0</v>
      </c>
      <c r="F110" s="213">
        <v>0</v>
      </c>
      <c r="G110" s="223" t="s">
        <v>1478</v>
      </c>
      <c r="H110" s="224">
        <v>0.11</v>
      </c>
      <c r="I110" s="213">
        <v>10</v>
      </c>
      <c r="J110" s="223">
        <v>5</v>
      </c>
      <c r="K110" s="223">
        <v>0</v>
      </c>
      <c r="L110" s="221">
        <v>1</v>
      </c>
      <c r="M110" s="220">
        <v>55</v>
      </c>
      <c r="N110" s="213">
        <v>60</v>
      </c>
      <c r="O110" s="225">
        <v>0.05</v>
      </c>
      <c r="P110" s="213">
        <v>0</v>
      </c>
      <c r="Q110" s="213">
        <v>0</v>
      </c>
      <c r="R110" s="220">
        <v>0</v>
      </c>
      <c r="S110" s="220">
        <v>0</v>
      </c>
      <c r="T110" s="212">
        <v>0</v>
      </c>
      <c r="U110" s="224">
        <v>0.27</v>
      </c>
      <c r="V110" s="213">
        <v>36</v>
      </c>
      <c r="W110" s="213">
        <v>0</v>
      </c>
      <c r="X110" s="221">
        <v>0.4</v>
      </c>
      <c r="Y110" s="220">
        <v>75</v>
      </c>
      <c r="Z110" s="213">
        <v>71</v>
      </c>
      <c r="AA110" s="222">
        <v>8.0000000000000002E-3</v>
      </c>
      <c r="AB110" s="213">
        <v>0</v>
      </c>
      <c r="AC110" s="213">
        <v>0</v>
      </c>
      <c r="AD110" s="212">
        <v>2.6999999999999999E-5</v>
      </c>
      <c r="AE110" s="212">
        <v>2.4000000000000001E-5</v>
      </c>
    </row>
    <row r="111" spans="1:31">
      <c r="A111" s="211">
        <v>43</v>
      </c>
      <c r="B111" s="212">
        <v>38</v>
      </c>
      <c r="C111" s="213">
        <v>5</v>
      </c>
      <c r="D111" s="213">
        <v>2</v>
      </c>
      <c r="E111" s="213">
        <v>0</v>
      </c>
      <c r="F111" s="213">
        <v>0</v>
      </c>
      <c r="G111" s="223" t="s">
        <v>1478</v>
      </c>
      <c r="H111" s="224">
        <v>0.09</v>
      </c>
      <c r="I111" s="213">
        <v>0</v>
      </c>
      <c r="J111" s="223">
        <v>0</v>
      </c>
      <c r="K111" s="223">
        <v>0</v>
      </c>
      <c r="L111" s="221">
        <v>1</v>
      </c>
      <c r="M111" s="220">
        <v>55</v>
      </c>
      <c r="N111" s="213">
        <v>60</v>
      </c>
      <c r="O111" s="225">
        <v>0.05</v>
      </c>
      <c r="P111" s="213">
        <v>0</v>
      </c>
      <c r="Q111" s="213">
        <v>0</v>
      </c>
      <c r="R111" s="220">
        <v>0</v>
      </c>
      <c r="S111" s="220">
        <v>0</v>
      </c>
      <c r="T111" s="212">
        <v>0</v>
      </c>
      <c r="U111" s="224">
        <v>0.28000000000000003</v>
      </c>
      <c r="V111" s="213">
        <v>1</v>
      </c>
      <c r="W111" s="213">
        <v>0</v>
      </c>
      <c r="X111" s="221">
        <v>0.37</v>
      </c>
      <c r="Y111" s="220">
        <v>75</v>
      </c>
      <c r="Z111" s="213">
        <v>71</v>
      </c>
      <c r="AA111" s="222">
        <v>7.43E-3</v>
      </c>
      <c r="AB111" s="213">
        <v>0</v>
      </c>
      <c r="AC111" s="213">
        <v>0</v>
      </c>
      <c r="AD111" s="212">
        <v>9.9999999999999995E-7</v>
      </c>
      <c r="AE111" s="212">
        <v>0</v>
      </c>
    </row>
    <row r="112" spans="1:31">
      <c r="A112" s="211">
        <v>42</v>
      </c>
      <c r="B112" s="212">
        <v>37</v>
      </c>
      <c r="C112" s="213">
        <v>251</v>
      </c>
      <c r="D112" s="213">
        <v>116</v>
      </c>
      <c r="E112" s="213">
        <v>0</v>
      </c>
      <c r="F112" s="213">
        <v>0</v>
      </c>
      <c r="G112" s="223" t="s">
        <v>1478</v>
      </c>
      <c r="H112" s="224">
        <v>7.0000000000000007E-2</v>
      </c>
      <c r="I112" s="213">
        <v>7</v>
      </c>
      <c r="J112" s="223">
        <v>3</v>
      </c>
      <c r="K112" s="223">
        <v>0</v>
      </c>
      <c r="L112" s="221">
        <v>1</v>
      </c>
      <c r="M112" s="220">
        <v>55</v>
      </c>
      <c r="N112" s="213">
        <v>60</v>
      </c>
      <c r="O112" s="225">
        <v>0.05</v>
      </c>
      <c r="P112" s="213">
        <v>0</v>
      </c>
      <c r="Q112" s="213">
        <v>0</v>
      </c>
      <c r="R112" s="220">
        <v>0</v>
      </c>
      <c r="S112" s="220">
        <v>0</v>
      </c>
      <c r="T112" s="212">
        <v>0</v>
      </c>
      <c r="U112" s="224">
        <v>0.3</v>
      </c>
      <c r="V112" s="213">
        <v>42</v>
      </c>
      <c r="W112" s="213">
        <v>0</v>
      </c>
      <c r="X112" s="221">
        <v>0.34</v>
      </c>
      <c r="Y112" s="220">
        <v>75</v>
      </c>
      <c r="Z112" s="213">
        <v>72</v>
      </c>
      <c r="AA112" s="222">
        <v>6.8599999999999998E-3</v>
      </c>
      <c r="AB112" s="213">
        <v>0</v>
      </c>
      <c r="AC112" s="213">
        <v>0</v>
      </c>
      <c r="AD112" s="212">
        <v>2.6999999999999999E-5</v>
      </c>
      <c r="AE112" s="212">
        <v>2.4000000000000001E-5</v>
      </c>
    </row>
    <row r="113" spans="1:31">
      <c r="A113" s="211">
        <v>41</v>
      </c>
      <c r="B113" s="212">
        <v>36</v>
      </c>
      <c r="C113" s="213">
        <v>138</v>
      </c>
      <c r="D113" s="213">
        <v>1</v>
      </c>
      <c r="E113" s="213">
        <v>1</v>
      </c>
      <c r="F113" s="213">
        <v>0</v>
      </c>
      <c r="G113" s="223" t="s">
        <v>1478</v>
      </c>
      <c r="H113" s="224">
        <v>0.05</v>
      </c>
      <c r="I113" s="213">
        <v>3</v>
      </c>
      <c r="J113" s="223">
        <v>0</v>
      </c>
      <c r="K113" s="223">
        <v>0</v>
      </c>
      <c r="L113" s="221">
        <v>1</v>
      </c>
      <c r="M113" s="220">
        <v>55</v>
      </c>
      <c r="N113" s="213">
        <v>60</v>
      </c>
      <c r="O113" s="225">
        <v>0.05</v>
      </c>
      <c r="P113" s="213">
        <v>0</v>
      </c>
      <c r="Q113" s="213">
        <v>0</v>
      </c>
      <c r="R113" s="220">
        <v>0</v>
      </c>
      <c r="S113" s="220">
        <v>0</v>
      </c>
      <c r="T113" s="212">
        <v>0</v>
      </c>
      <c r="U113" s="224">
        <v>0.32</v>
      </c>
      <c r="V113" s="213">
        <v>24</v>
      </c>
      <c r="W113" s="213">
        <v>0</v>
      </c>
      <c r="X113" s="221">
        <v>0.31</v>
      </c>
      <c r="Y113" s="220">
        <v>75</v>
      </c>
      <c r="Z113" s="213">
        <v>72</v>
      </c>
      <c r="AA113" s="222">
        <v>6.2899999999999996E-3</v>
      </c>
      <c r="AB113" s="213">
        <v>0</v>
      </c>
      <c r="AC113" s="213">
        <v>0</v>
      </c>
      <c r="AD113" s="212">
        <v>1.4E-5</v>
      </c>
      <c r="AE113" s="212">
        <v>1.2999999999999999E-5</v>
      </c>
    </row>
    <row r="114" spans="1:31">
      <c r="A114" s="211">
        <v>40</v>
      </c>
      <c r="B114" s="212">
        <v>35</v>
      </c>
      <c r="C114" s="213">
        <v>8</v>
      </c>
      <c r="D114" s="213">
        <v>56</v>
      </c>
      <c r="E114" s="213">
        <v>0</v>
      </c>
      <c r="F114" s="213">
        <v>0</v>
      </c>
      <c r="G114" s="223" t="s">
        <v>1478</v>
      </c>
      <c r="H114" s="224">
        <v>0.04</v>
      </c>
      <c r="I114" s="213">
        <v>0</v>
      </c>
      <c r="J114" s="223">
        <v>1</v>
      </c>
      <c r="K114" s="223">
        <v>0</v>
      </c>
      <c r="L114" s="221">
        <v>1</v>
      </c>
      <c r="M114" s="220">
        <v>55</v>
      </c>
      <c r="N114" s="213">
        <v>60</v>
      </c>
      <c r="O114" s="225">
        <v>0.05</v>
      </c>
      <c r="P114" s="213">
        <v>0</v>
      </c>
      <c r="Q114" s="213">
        <v>0</v>
      </c>
      <c r="R114" s="220">
        <v>0</v>
      </c>
      <c r="S114" s="220">
        <v>0</v>
      </c>
      <c r="T114" s="212">
        <v>0</v>
      </c>
      <c r="U114" s="224">
        <v>0.33</v>
      </c>
      <c r="V114" s="213">
        <v>1</v>
      </c>
      <c r="W114" s="213">
        <v>0</v>
      </c>
      <c r="X114" s="221">
        <v>0.28999999999999998</v>
      </c>
      <c r="Y114" s="220">
        <v>75</v>
      </c>
      <c r="Z114" s="213">
        <v>72</v>
      </c>
      <c r="AA114" s="222">
        <v>5.7099999999999998E-3</v>
      </c>
      <c r="AB114" s="213">
        <v>0</v>
      </c>
      <c r="AC114" s="213">
        <v>0</v>
      </c>
      <c r="AD114" s="212">
        <v>9.9999999999999995E-7</v>
      </c>
      <c r="AE114" s="212">
        <v>9.9999999999999995E-7</v>
      </c>
    </row>
    <row r="115" spans="1:31">
      <c r="A115" s="211">
        <v>39</v>
      </c>
      <c r="B115" s="212">
        <v>35</v>
      </c>
      <c r="C115" s="213">
        <v>245</v>
      </c>
      <c r="D115" s="213">
        <v>97</v>
      </c>
      <c r="E115" s="213">
        <v>3</v>
      </c>
      <c r="F115" s="213">
        <v>0</v>
      </c>
      <c r="G115" s="223" t="s">
        <v>1478</v>
      </c>
      <c r="H115" s="224">
        <v>0.02</v>
      </c>
      <c r="I115" s="213">
        <v>2</v>
      </c>
      <c r="J115" s="223">
        <v>1</v>
      </c>
      <c r="K115" s="223">
        <v>0</v>
      </c>
      <c r="L115" s="221">
        <v>1</v>
      </c>
      <c r="M115" s="220">
        <v>55</v>
      </c>
      <c r="N115" s="213">
        <v>60</v>
      </c>
      <c r="O115" s="225">
        <v>0.05</v>
      </c>
      <c r="P115" s="213">
        <v>0</v>
      </c>
      <c r="Q115" s="213">
        <v>0</v>
      </c>
      <c r="R115" s="220">
        <v>0</v>
      </c>
      <c r="S115" s="220">
        <v>0</v>
      </c>
      <c r="T115" s="212">
        <v>0</v>
      </c>
      <c r="U115" s="224">
        <v>0.35</v>
      </c>
      <c r="V115" s="213">
        <v>47</v>
      </c>
      <c r="W115" s="213">
        <v>0</v>
      </c>
      <c r="X115" s="221">
        <v>0.26</v>
      </c>
      <c r="Y115" s="220">
        <v>75</v>
      </c>
      <c r="Z115" s="213">
        <v>72</v>
      </c>
      <c r="AA115" s="222">
        <v>5.1399999999999996E-3</v>
      </c>
      <c r="AB115" s="213">
        <v>0</v>
      </c>
      <c r="AC115" s="213">
        <v>0</v>
      </c>
      <c r="AD115" s="212">
        <v>2.3E-5</v>
      </c>
      <c r="AE115" s="212">
        <v>2.0000000000000002E-5</v>
      </c>
    </row>
    <row r="116" spans="1:31">
      <c r="A116" s="211">
        <v>38</v>
      </c>
      <c r="B116" s="212">
        <v>34</v>
      </c>
      <c r="C116" s="213">
        <v>16</v>
      </c>
      <c r="D116" s="213">
        <v>6</v>
      </c>
      <c r="E116" s="213">
        <v>1</v>
      </c>
      <c r="F116" s="213">
        <v>0</v>
      </c>
      <c r="G116" s="223" t="s">
        <v>1478</v>
      </c>
      <c r="H116" s="224">
        <v>0</v>
      </c>
      <c r="I116" s="213">
        <v>0</v>
      </c>
      <c r="J116" s="223">
        <v>0</v>
      </c>
      <c r="K116" s="223">
        <v>0</v>
      </c>
      <c r="L116" s="221">
        <v>1</v>
      </c>
      <c r="M116" s="220">
        <v>55</v>
      </c>
      <c r="N116" s="213">
        <v>60</v>
      </c>
      <c r="O116" s="225">
        <v>0.05</v>
      </c>
      <c r="P116" s="213">
        <v>0</v>
      </c>
      <c r="Q116" s="213">
        <v>0</v>
      </c>
      <c r="R116" s="220">
        <v>0</v>
      </c>
      <c r="S116" s="220">
        <v>0</v>
      </c>
      <c r="T116" s="212">
        <v>0</v>
      </c>
      <c r="U116" s="224">
        <v>0.37</v>
      </c>
      <c r="V116" s="213">
        <v>3</v>
      </c>
      <c r="W116" s="213">
        <v>0</v>
      </c>
      <c r="X116" s="221">
        <v>0.23</v>
      </c>
      <c r="Y116" s="220">
        <v>75</v>
      </c>
      <c r="Z116" s="213">
        <v>73</v>
      </c>
      <c r="AA116" s="222">
        <v>4.5700000000000003E-3</v>
      </c>
      <c r="AB116" s="213">
        <v>0</v>
      </c>
      <c r="AC116" s="213">
        <v>0</v>
      </c>
      <c r="AD116" s="212">
        <v>9.9999999999999995E-7</v>
      </c>
      <c r="AE116" s="212">
        <v>9.9999999999999995E-7</v>
      </c>
    </row>
    <row r="117" spans="1:31">
      <c r="A117" s="211">
        <v>37</v>
      </c>
      <c r="B117" s="212">
        <v>33</v>
      </c>
      <c r="C117" s="213">
        <v>278</v>
      </c>
      <c r="D117" s="213">
        <v>138</v>
      </c>
      <c r="E117" s="213">
        <v>5</v>
      </c>
      <c r="F117" s="213">
        <v>0</v>
      </c>
      <c r="G117" s="223" t="s">
        <v>1478</v>
      </c>
      <c r="H117" s="224">
        <v>0</v>
      </c>
      <c r="I117" s="213">
        <v>0</v>
      </c>
      <c r="J117" s="223">
        <v>0</v>
      </c>
      <c r="K117" s="223">
        <v>0</v>
      </c>
      <c r="L117" s="221">
        <v>1</v>
      </c>
      <c r="M117" s="220">
        <v>55</v>
      </c>
      <c r="N117" s="213">
        <v>60</v>
      </c>
      <c r="O117" s="225">
        <v>0.05</v>
      </c>
      <c r="P117" s="213">
        <v>0</v>
      </c>
      <c r="Q117" s="213">
        <v>0</v>
      </c>
      <c r="R117" s="220">
        <v>0</v>
      </c>
      <c r="S117" s="220">
        <v>0</v>
      </c>
      <c r="T117" s="212">
        <v>0</v>
      </c>
      <c r="U117" s="224">
        <v>0.38</v>
      </c>
      <c r="V117" s="213">
        <v>59</v>
      </c>
      <c r="W117" s="213">
        <v>0</v>
      </c>
      <c r="X117" s="221">
        <v>0.2</v>
      </c>
      <c r="Y117" s="220">
        <v>75</v>
      </c>
      <c r="Z117" s="213">
        <v>73</v>
      </c>
      <c r="AA117" s="222">
        <v>4.0000000000000001E-3</v>
      </c>
      <c r="AB117" s="213">
        <v>0</v>
      </c>
      <c r="AC117" s="213">
        <v>0</v>
      </c>
      <c r="AD117" s="212">
        <v>2.1999999999999999E-5</v>
      </c>
      <c r="AE117" s="212">
        <v>2.0000000000000002E-5</v>
      </c>
    </row>
    <row r="118" spans="1:31">
      <c r="A118" s="211">
        <v>36</v>
      </c>
      <c r="B118" s="212">
        <v>32</v>
      </c>
      <c r="C118" s="213">
        <v>34</v>
      </c>
      <c r="D118" s="213">
        <v>17</v>
      </c>
      <c r="E118" s="213">
        <v>0</v>
      </c>
      <c r="F118" s="213">
        <v>0</v>
      </c>
      <c r="G118" s="223" t="s">
        <v>1478</v>
      </c>
      <c r="H118" s="224">
        <v>0</v>
      </c>
      <c r="I118" s="213">
        <v>0</v>
      </c>
      <c r="J118" s="223">
        <v>0</v>
      </c>
      <c r="K118" s="223">
        <v>0</v>
      </c>
      <c r="L118" s="221">
        <v>1</v>
      </c>
      <c r="M118" s="220">
        <v>55</v>
      </c>
      <c r="N118" s="213">
        <v>60</v>
      </c>
      <c r="O118" s="225">
        <v>0.05</v>
      </c>
      <c r="P118" s="213">
        <v>0</v>
      </c>
      <c r="Q118" s="213">
        <v>0</v>
      </c>
      <c r="R118" s="220">
        <v>0</v>
      </c>
      <c r="S118" s="220">
        <v>0</v>
      </c>
      <c r="T118" s="212">
        <v>0</v>
      </c>
      <c r="U118" s="224">
        <v>0.4</v>
      </c>
      <c r="V118" s="213">
        <v>8</v>
      </c>
      <c r="W118" s="213">
        <v>0</v>
      </c>
      <c r="X118" s="221">
        <v>0.17</v>
      </c>
      <c r="Y118" s="220">
        <v>75</v>
      </c>
      <c r="Z118" s="213">
        <v>73</v>
      </c>
      <c r="AA118" s="222">
        <v>3.4299999999999999E-3</v>
      </c>
      <c r="AB118" s="213">
        <v>0</v>
      </c>
      <c r="AC118" s="213">
        <v>0</v>
      </c>
      <c r="AD118" s="212">
        <v>1.9999999999999999E-6</v>
      </c>
      <c r="AE118" s="212">
        <v>1.9999999999999999E-6</v>
      </c>
    </row>
    <row r="119" spans="1:31">
      <c r="A119" s="211">
        <v>35</v>
      </c>
      <c r="B119" s="212">
        <v>31</v>
      </c>
      <c r="C119" s="213">
        <v>284</v>
      </c>
      <c r="D119" s="213">
        <v>115</v>
      </c>
      <c r="E119" s="213">
        <v>7</v>
      </c>
      <c r="F119" s="213">
        <v>0</v>
      </c>
      <c r="G119" s="223" t="s">
        <v>1478</v>
      </c>
      <c r="H119" s="224">
        <v>0</v>
      </c>
      <c r="I119" s="213">
        <v>0</v>
      </c>
      <c r="J119" s="223">
        <v>0</v>
      </c>
      <c r="K119" s="223">
        <v>0</v>
      </c>
      <c r="L119" s="221">
        <v>1</v>
      </c>
      <c r="M119" s="220">
        <v>55</v>
      </c>
      <c r="N119" s="213">
        <v>60</v>
      </c>
      <c r="O119" s="225">
        <v>0.05</v>
      </c>
      <c r="P119" s="213">
        <v>0</v>
      </c>
      <c r="Q119" s="213">
        <v>0</v>
      </c>
      <c r="R119" s="220">
        <v>0</v>
      </c>
      <c r="S119" s="220">
        <v>0</v>
      </c>
      <c r="T119" s="212">
        <v>0</v>
      </c>
      <c r="U119" s="224">
        <v>0.42</v>
      </c>
      <c r="V119" s="213">
        <v>65</v>
      </c>
      <c r="W119" s="213">
        <v>0</v>
      </c>
      <c r="X119" s="221">
        <v>0.14000000000000001</v>
      </c>
      <c r="Y119" s="220">
        <v>75</v>
      </c>
      <c r="Z119" s="213">
        <v>74</v>
      </c>
      <c r="AA119" s="222">
        <v>2.8600000000000001E-3</v>
      </c>
      <c r="AB119" s="213">
        <v>0</v>
      </c>
      <c r="AC119" s="213">
        <v>0</v>
      </c>
      <c r="AD119" s="212">
        <v>1.8E-5</v>
      </c>
      <c r="AE119" s="212">
        <v>1.5999999999999999E-5</v>
      </c>
    </row>
    <row r="120" spans="1:31">
      <c r="A120" s="211">
        <v>34</v>
      </c>
      <c r="B120" s="212">
        <v>30</v>
      </c>
      <c r="C120" s="213">
        <v>30</v>
      </c>
      <c r="D120" s="213">
        <v>20</v>
      </c>
      <c r="E120" s="213">
        <v>0</v>
      </c>
      <c r="F120" s="213">
        <v>0</v>
      </c>
      <c r="G120" s="223" t="s">
        <v>1478</v>
      </c>
      <c r="H120" s="224">
        <v>0</v>
      </c>
      <c r="I120" s="213">
        <v>0</v>
      </c>
      <c r="J120" s="223">
        <v>0</v>
      </c>
      <c r="K120" s="223">
        <v>0</v>
      </c>
      <c r="L120" s="221">
        <v>1</v>
      </c>
      <c r="M120" s="220">
        <v>55</v>
      </c>
      <c r="N120" s="213">
        <v>60</v>
      </c>
      <c r="O120" s="225">
        <v>0.05</v>
      </c>
      <c r="P120" s="213">
        <v>0</v>
      </c>
      <c r="Q120" s="213">
        <v>0</v>
      </c>
      <c r="R120" s="220">
        <v>0</v>
      </c>
      <c r="S120" s="220">
        <v>0</v>
      </c>
      <c r="T120" s="212">
        <v>0</v>
      </c>
      <c r="U120" s="224">
        <v>0.43</v>
      </c>
      <c r="V120" s="213">
        <v>7</v>
      </c>
      <c r="W120" s="213">
        <v>0</v>
      </c>
      <c r="X120" s="221">
        <v>0.11</v>
      </c>
      <c r="Y120" s="220">
        <v>75</v>
      </c>
      <c r="Z120" s="213">
        <v>74</v>
      </c>
      <c r="AA120" s="222">
        <v>2.2899999999999999E-3</v>
      </c>
      <c r="AB120" s="213">
        <v>0</v>
      </c>
      <c r="AC120" s="213">
        <v>0</v>
      </c>
      <c r="AD120" s="212">
        <v>1.9999999999999999E-6</v>
      </c>
      <c r="AE120" s="212">
        <v>9.9999999999999995E-7</v>
      </c>
    </row>
    <row r="121" spans="1:31">
      <c r="A121" s="211">
        <v>33</v>
      </c>
      <c r="B121" s="212">
        <v>29</v>
      </c>
      <c r="C121" s="213">
        <v>275</v>
      </c>
      <c r="D121" s="213">
        <v>122</v>
      </c>
      <c r="E121" s="213">
        <v>3</v>
      </c>
      <c r="F121" s="213">
        <v>0</v>
      </c>
      <c r="G121" s="223" t="s">
        <v>1478</v>
      </c>
      <c r="H121" s="224">
        <v>0</v>
      </c>
      <c r="I121" s="213">
        <v>0</v>
      </c>
      <c r="J121" s="223">
        <v>0</v>
      </c>
      <c r="K121" s="223">
        <v>0</v>
      </c>
      <c r="L121" s="221">
        <v>1</v>
      </c>
      <c r="M121" s="220">
        <v>55</v>
      </c>
      <c r="N121" s="213">
        <v>60</v>
      </c>
      <c r="O121" s="225">
        <v>0.05</v>
      </c>
      <c r="P121" s="213">
        <v>0</v>
      </c>
      <c r="Q121" s="213">
        <v>0</v>
      </c>
      <c r="R121" s="220">
        <v>0</v>
      </c>
      <c r="S121" s="220">
        <v>0</v>
      </c>
      <c r="T121" s="212">
        <v>0</v>
      </c>
      <c r="U121" s="224">
        <v>0.45</v>
      </c>
      <c r="V121" s="213">
        <v>68</v>
      </c>
      <c r="W121" s="213">
        <v>0</v>
      </c>
      <c r="X121" s="221">
        <v>0.09</v>
      </c>
      <c r="Y121" s="220">
        <v>75</v>
      </c>
      <c r="Z121" s="213">
        <v>74</v>
      </c>
      <c r="AA121" s="222">
        <v>1.7099999999999999E-3</v>
      </c>
      <c r="AB121" s="213">
        <v>0</v>
      </c>
      <c r="AC121" s="213">
        <v>0</v>
      </c>
      <c r="AD121" s="212">
        <v>1.1E-5</v>
      </c>
      <c r="AE121" s="212">
        <v>1.0000000000000001E-5</v>
      </c>
    </row>
    <row r="122" spans="1:31">
      <c r="A122" s="211">
        <v>32</v>
      </c>
      <c r="B122" s="212">
        <v>28</v>
      </c>
      <c r="C122" s="213">
        <v>168</v>
      </c>
      <c r="D122" s="213">
        <v>18</v>
      </c>
      <c r="E122" s="213">
        <v>6</v>
      </c>
      <c r="F122" s="213">
        <v>0</v>
      </c>
      <c r="G122" s="223" t="s">
        <v>1478</v>
      </c>
      <c r="H122" s="224">
        <v>0</v>
      </c>
      <c r="I122" s="213">
        <v>0</v>
      </c>
      <c r="J122" s="223">
        <v>0</v>
      </c>
      <c r="K122" s="223">
        <v>0</v>
      </c>
      <c r="L122" s="221">
        <v>1</v>
      </c>
      <c r="M122" s="220">
        <v>55</v>
      </c>
      <c r="N122" s="213">
        <v>60</v>
      </c>
      <c r="O122" s="225">
        <v>0.05</v>
      </c>
      <c r="P122" s="213">
        <v>0</v>
      </c>
      <c r="Q122" s="213">
        <v>0</v>
      </c>
      <c r="R122" s="220">
        <v>0</v>
      </c>
      <c r="S122" s="220">
        <v>0</v>
      </c>
      <c r="T122" s="212">
        <v>0</v>
      </c>
      <c r="U122" s="224">
        <v>0.47</v>
      </c>
      <c r="V122" s="213">
        <v>43</v>
      </c>
      <c r="W122" s="213">
        <v>0</v>
      </c>
      <c r="X122" s="221">
        <v>0.06</v>
      </c>
      <c r="Y122" s="220">
        <v>75</v>
      </c>
      <c r="Z122" s="213">
        <v>74</v>
      </c>
      <c r="AA122" s="222">
        <v>1.14E-3</v>
      </c>
      <c r="AB122" s="213">
        <v>0</v>
      </c>
      <c r="AC122" s="213">
        <v>0</v>
      </c>
      <c r="AD122" s="212">
        <v>5.0000000000000004E-6</v>
      </c>
      <c r="AE122" s="212">
        <v>3.9999999999999998E-6</v>
      </c>
    </row>
    <row r="123" spans="1:31">
      <c r="A123" s="211">
        <v>31</v>
      </c>
      <c r="B123" s="212">
        <v>27</v>
      </c>
      <c r="C123" s="213">
        <v>45</v>
      </c>
      <c r="D123" s="213">
        <v>74</v>
      </c>
      <c r="E123" s="213">
        <v>3</v>
      </c>
      <c r="F123" s="213">
        <v>0</v>
      </c>
      <c r="G123" s="223" t="s">
        <v>1478</v>
      </c>
      <c r="H123" s="224">
        <v>0</v>
      </c>
      <c r="I123" s="213">
        <v>0</v>
      </c>
      <c r="J123" s="223">
        <v>0</v>
      </c>
      <c r="K123" s="223">
        <v>0</v>
      </c>
      <c r="L123" s="221">
        <v>1</v>
      </c>
      <c r="M123" s="220">
        <v>55</v>
      </c>
      <c r="N123" s="213">
        <v>60</v>
      </c>
      <c r="O123" s="225">
        <v>0.05</v>
      </c>
      <c r="P123" s="213">
        <v>0</v>
      </c>
      <c r="Q123" s="213">
        <v>0</v>
      </c>
      <c r="R123" s="220">
        <v>0</v>
      </c>
      <c r="S123" s="220">
        <v>0</v>
      </c>
      <c r="T123" s="212">
        <v>0</v>
      </c>
      <c r="U123" s="224">
        <v>0.48</v>
      </c>
      <c r="V123" s="213">
        <v>12</v>
      </c>
      <c r="W123" s="213">
        <v>0</v>
      </c>
      <c r="X123" s="221">
        <v>0.03</v>
      </c>
      <c r="Y123" s="220">
        <v>75</v>
      </c>
      <c r="Z123" s="213">
        <v>75</v>
      </c>
      <c r="AA123" s="222">
        <v>5.6999999999999998E-4</v>
      </c>
      <c r="AB123" s="213">
        <v>0</v>
      </c>
      <c r="AC123" s="213">
        <v>0</v>
      </c>
      <c r="AD123" s="212">
        <v>9.9999999999999995E-7</v>
      </c>
      <c r="AE123" s="212">
        <v>9.9999999999999995E-7</v>
      </c>
    </row>
    <row r="124" spans="1:31">
      <c r="A124" s="211">
        <v>30</v>
      </c>
      <c r="B124" s="212">
        <v>26</v>
      </c>
      <c r="C124" s="213">
        <v>269</v>
      </c>
      <c r="D124" s="213">
        <v>84</v>
      </c>
      <c r="E124" s="213">
        <v>10</v>
      </c>
      <c r="F124" s="213">
        <v>0</v>
      </c>
      <c r="G124" s="223" t="s">
        <v>1478</v>
      </c>
      <c r="H124" s="224">
        <v>0</v>
      </c>
      <c r="I124" s="213">
        <v>0</v>
      </c>
      <c r="J124" s="223">
        <v>0</v>
      </c>
      <c r="K124" s="223">
        <v>0</v>
      </c>
      <c r="L124" s="221">
        <v>1</v>
      </c>
      <c r="M124" s="220">
        <v>55</v>
      </c>
      <c r="N124" s="213">
        <v>60</v>
      </c>
      <c r="O124" s="225">
        <v>0.05</v>
      </c>
      <c r="P124" s="213">
        <v>0</v>
      </c>
      <c r="Q124" s="213">
        <v>0</v>
      </c>
      <c r="R124" s="220">
        <v>0</v>
      </c>
      <c r="S124" s="220">
        <v>0</v>
      </c>
      <c r="T124" s="212">
        <v>0</v>
      </c>
      <c r="U124" s="224">
        <v>0.5</v>
      </c>
      <c r="V124" s="213">
        <v>74</v>
      </c>
      <c r="W124" s="213">
        <v>0</v>
      </c>
      <c r="X124" s="221">
        <v>0</v>
      </c>
      <c r="Y124" s="220">
        <v>75</v>
      </c>
      <c r="Z124" s="213">
        <v>75</v>
      </c>
      <c r="AA124" s="222">
        <v>0</v>
      </c>
      <c r="AB124" s="213">
        <v>0</v>
      </c>
      <c r="AC124" s="213">
        <v>0</v>
      </c>
      <c r="AD124" s="212">
        <v>0</v>
      </c>
      <c r="AE124" s="212">
        <v>0</v>
      </c>
    </row>
    <row r="125" spans="1:31">
      <c r="A125" s="211">
        <v>29</v>
      </c>
      <c r="B125" s="212">
        <v>25</v>
      </c>
      <c r="C125" s="213">
        <v>36</v>
      </c>
      <c r="D125" s="213">
        <v>12</v>
      </c>
      <c r="E125" s="213">
        <v>2</v>
      </c>
      <c r="F125" s="213">
        <v>0</v>
      </c>
      <c r="G125" s="223" t="s">
        <v>1478</v>
      </c>
      <c r="H125" s="224">
        <v>0</v>
      </c>
      <c r="I125" s="213">
        <v>0</v>
      </c>
      <c r="J125" s="223">
        <v>0</v>
      </c>
      <c r="K125" s="223">
        <v>0</v>
      </c>
      <c r="L125" s="221">
        <v>1</v>
      </c>
      <c r="M125" s="220">
        <v>55</v>
      </c>
      <c r="N125" s="213">
        <v>60</v>
      </c>
      <c r="O125" s="225">
        <v>0.05</v>
      </c>
      <c r="P125" s="213">
        <v>0</v>
      </c>
      <c r="Q125" s="213">
        <v>0</v>
      </c>
      <c r="R125" s="220">
        <v>0</v>
      </c>
      <c r="S125" s="220">
        <v>0</v>
      </c>
      <c r="T125" s="212">
        <v>0</v>
      </c>
      <c r="U125" s="224">
        <v>0.52</v>
      </c>
      <c r="V125" s="213">
        <v>10</v>
      </c>
      <c r="W125" s="213">
        <v>0</v>
      </c>
      <c r="X125" s="221">
        <v>0</v>
      </c>
      <c r="Y125" s="220">
        <v>75</v>
      </c>
      <c r="Z125" s="213">
        <v>75</v>
      </c>
      <c r="AA125" s="222">
        <v>0</v>
      </c>
      <c r="AB125" s="213">
        <v>0</v>
      </c>
      <c r="AC125" s="213">
        <v>0</v>
      </c>
      <c r="AD125" s="212">
        <v>0</v>
      </c>
      <c r="AE125" s="212">
        <v>0</v>
      </c>
    </row>
    <row r="126" spans="1:31">
      <c r="A126" s="211">
        <v>28</v>
      </c>
      <c r="B126" s="212">
        <v>24</v>
      </c>
      <c r="C126" s="213">
        <v>223</v>
      </c>
      <c r="D126" s="213">
        <v>69</v>
      </c>
      <c r="E126" s="213">
        <v>6</v>
      </c>
      <c r="F126" s="213">
        <v>0</v>
      </c>
      <c r="G126" s="223" t="s">
        <v>1478</v>
      </c>
      <c r="H126" s="224">
        <v>0</v>
      </c>
      <c r="I126" s="213">
        <v>0</v>
      </c>
      <c r="J126" s="223">
        <v>0</v>
      </c>
      <c r="K126" s="223">
        <v>0</v>
      </c>
      <c r="L126" s="221">
        <v>1</v>
      </c>
      <c r="M126" s="220">
        <v>55</v>
      </c>
      <c r="N126" s="213">
        <v>60</v>
      </c>
      <c r="O126" s="225">
        <v>0.05</v>
      </c>
      <c r="P126" s="213">
        <v>0</v>
      </c>
      <c r="Q126" s="213">
        <v>0</v>
      </c>
      <c r="R126" s="220">
        <v>0</v>
      </c>
      <c r="S126" s="220">
        <v>0</v>
      </c>
      <c r="T126" s="212">
        <v>0</v>
      </c>
      <c r="U126" s="224">
        <v>0.53</v>
      </c>
      <c r="V126" s="213">
        <v>66</v>
      </c>
      <c r="W126" s="213">
        <v>0</v>
      </c>
      <c r="X126" s="221">
        <v>0</v>
      </c>
      <c r="Y126" s="220">
        <v>75</v>
      </c>
      <c r="Z126" s="213">
        <v>75</v>
      </c>
      <c r="AA126" s="222">
        <v>0</v>
      </c>
      <c r="AB126" s="213">
        <v>0</v>
      </c>
      <c r="AC126" s="213">
        <v>0</v>
      </c>
      <c r="AD126" s="212">
        <v>0</v>
      </c>
      <c r="AE126" s="212">
        <v>0</v>
      </c>
    </row>
    <row r="127" spans="1:31">
      <c r="A127" s="211">
        <v>27</v>
      </c>
      <c r="B127" s="212">
        <v>23</v>
      </c>
      <c r="C127" s="213">
        <v>37</v>
      </c>
      <c r="D127" s="213">
        <v>11</v>
      </c>
      <c r="E127" s="213">
        <v>0</v>
      </c>
      <c r="F127" s="213">
        <v>0</v>
      </c>
      <c r="G127" s="223" t="s">
        <v>1478</v>
      </c>
      <c r="H127" s="224">
        <v>0</v>
      </c>
      <c r="I127" s="213">
        <v>0</v>
      </c>
      <c r="J127" s="223">
        <v>0</v>
      </c>
      <c r="K127" s="223">
        <v>0</v>
      </c>
      <c r="L127" s="221">
        <v>1</v>
      </c>
      <c r="M127" s="220">
        <v>55</v>
      </c>
      <c r="N127" s="213">
        <v>60</v>
      </c>
      <c r="O127" s="225">
        <v>0.05</v>
      </c>
      <c r="P127" s="213">
        <v>0</v>
      </c>
      <c r="Q127" s="213">
        <v>0</v>
      </c>
      <c r="R127" s="220">
        <v>0</v>
      </c>
      <c r="S127" s="220">
        <v>0</v>
      </c>
      <c r="T127" s="212">
        <v>0</v>
      </c>
      <c r="U127" s="224">
        <v>0.55000000000000004</v>
      </c>
      <c r="V127" s="213">
        <v>11</v>
      </c>
      <c r="W127" s="213">
        <v>0</v>
      </c>
      <c r="X127" s="221">
        <v>0</v>
      </c>
      <c r="Y127" s="220">
        <v>75</v>
      </c>
      <c r="Z127" s="213">
        <v>75</v>
      </c>
      <c r="AA127" s="222">
        <v>0</v>
      </c>
      <c r="AB127" s="213">
        <v>0</v>
      </c>
      <c r="AC127" s="213">
        <v>0</v>
      </c>
      <c r="AD127" s="212">
        <v>0</v>
      </c>
      <c r="AE127" s="212">
        <v>0</v>
      </c>
    </row>
    <row r="128" spans="1:31">
      <c r="A128" s="211">
        <v>26</v>
      </c>
      <c r="B128" s="212">
        <v>22</v>
      </c>
      <c r="C128" s="213">
        <v>226</v>
      </c>
      <c r="D128" s="213">
        <v>84</v>
      </c>
      <c r="E128" s="213">
        <v>6</v>
      </c>
      <c r="F128" s="213">
        <v>0</v>
      </c>
      <c r="G128" s="223" t="s">
        <v>1478</v>
      </c>
      <c r="H128" s="224">
        <v>0</v>
      </c>
      <c r="I128" s="213">
        <v>0</v>
      </c>
      <c r="J128" s="223">
        <v>0</v>
      </c>
      <c r="K128" s="223">
        <v>0</v>
      </c>
      <c r="L128" s="221">
        <v>1</v>
      </c>
      <c r="M128" s="220">
        <v>55</v>
      </c>
      <c r="N128" s="213">
        <v>60</v>
      </c>
      <c r="O128" s="225">
        <v>0.05</v>
      </c>
      <c r="P128" s="213">
        <v>0</v>
      </c>
      <c r="Q128" s="213">
        <v>0</v>
      </c>
      <c r="R128" s="220">
        <v>0</v>
      </c>
      <c r="S128" s="220">
        <v>0</v>
      </c>
      <c r="T128" s="212">
        <v>0</v>
      </c>
      <c r="U128" s="224">
        <v>0.56999999999999995</v>
      </c>
      <c r="V128" s="213">
        <v>71</v>
      </c>
      <c r="W128" s="213">
        <v>0</v>
      </c>
      <c r="X128" s="221">
        <v>0</v>
      </c>
      <c r="Y128" s="220">
        <v>75</v>
      </c>
      <c r="Z128" s="213">
        <v>75</v>
      </c>
      <c r="AA128" s="222">
        <v>0</v>
      </c>
      <c r="AB128" s="213">
        <v>0</v>
      </c>
      <c r="AC128" s="213">
        <v>0</v>
      </c>
      <c r="AD128" s="212">
        <v>0</v>
      </c>
      <c r="AE128" s="212">
        <v>0</v>
      </c>
    </row>
    <row r="129" spans="1:31">
      <c r="A129" s="211">
        <v>25</v>
      </c>
      <c r="B129" s="212">
        <v>21</v>
      </c>
      <c r="C129" s="213">
        <v>42</v>
      </c>
      <c r="D129" s="213">
        <v>20</v>
      </c>
      <c r="E129" s="213">
        <v>3</v>
      </c>
      <c r="F129" s="213">
        <v>0</v>
      </c>
      <c r="G129" s="223" t="s">
        <v>1478</v>
      </c>
      <c r="H129" s="224">
        <v>0</v>
      </c>
      <c r="I129" s="213">
        <v>0</v>
      </c>
      <c r="J129" s="223">
        <v>0</v>
      </c>
      <c r="K129" s="223">
        <v>0</v>
      </c>
      <c r="L129" s="221">
        <v>1</v>
      </c>
      <c r="M129" s="220">
        <v>55</v>
      </c>
      <c r="N129" s="213">
        <v>60</v>
      </c>
      <c r="O129" s="225">
        <v>0.05</v>
      </c>
      <c r="P129" s="213">
        <v>0</v>
      </c>
      <c r="Q129" s="213">
        <v>0</v>
      </c>
      <c r="R129" s="220">
        <v>0</v>
      </c>
      <c r="S129" s="220">
        <v>0</v>
      </c>
      <c r="T129" s="212">
        <v>0</v>
      </c>
      <c r="U129" s="224">
        <v>0.57999999999999996</v>
      </c>
      <c r="V129" s="213">
        <v>14</v>
      </c>
      <c r="W129" s="213">
        <v>0</v>
      </c>
      <c r="X129" s="221">
        <v>0</v>
      </c>
      <c r="Y129" s="220">
        <v>75</v>
      </c>
      <c r="Z129" s="213">
        <v>75</v>
      </c>
      <c r="AA129" s="222">
        <v>0</v>
      </c>
      <c r="AB129" s="213">
        <v>0</v>
      </c>
      <c r="AC129" s="213">
        <v>0</v>
      </c>
      <c r="AD129" s="212">
        <v>0</v>
      </c>
      <c r="AE129" s="212">
        <v>0</v>
      </c>
    </row>
    <row r="130" spans="1:31">
      <c r="A130" s="211">
        <v>24</v>
      </c>
      <c r="B130" s="212">
        <v>20</v>
      </c>
      <c r="C130" s="213">
        <v>204</v>
      </c>
      <c r="D130" s="213">
        <v>77</v>
      </c>
      <c r="E130" s="213">
        <v>10</v>
      </c>
      <c r="F130" s="213">
        <v>0</v>
      </c>
      <c r="G130" s="223" t="s">
        <v>1478</v>
      </c>
      <c r="H130" s="224">
        <v>0</v>
      </c>
      <c r="I130" s="213">
        <v>0</v>
      </c>
      <c r="J130" s="223">
        <v>0</v>
      </c>
      <c r="K130" s="223">
        <v>0</v>
      </c>
      <c r="L130" s="221">
        <v>1</v>
      </c>
      <c r="M130" s="220">
        <v>55</v>
      </c>
      <c r="N130" s="213">
        <v>60</v>
      </c>
      <c r="O130" s="225">
        <v>0.05</v>
      </c>
      <c r="P130" s="213">
        <v>0</v>
      </c>
      <c r="Q130" s="213">
        <v>0</v>
      </c>
      <c r="R130" s="220">
        <v>0</v>
      </c>
      <c r="S130" s="220">
        <v>0</v>
      </c>
      <c r="T130" s="212">
        <v>0</v>
      </c>
      <c r="U130" s="224">
        <v>0.6</v>
      </c>
      <c r="V130" s="213">
        <v>68</v>
      </c>
      <c r="W130" s="213">
        <v>0</v>
      </c>
      <c r="X130" s="221">
        <v>0</v>
      </c>
      <c r="Y130" s="220">
        <v>75</v>
      </c>
      <c r="Z130" s="213">
        <v>75</v>
      </c>
      <c r="AA130" s="222">
        <v>0</v>
      </c>
      <c r="AB130" s="213">
        <v>0</v>
      </c>
      <c r="AC130" s="213">
        <v>0</v>
      </c>
      <c r="AD130" s="212">
        <v>0</v>
      </c>
      <c r="AE130" s="212">
        <v>0</v>
      </c>
    </row>
    <row r="131" spans="1:31">
      <c r="A131" s="211">
        <v>23</v>
      </c>
      <c r="B131" s="212">
        <v>19</v>
      </c>
      <c r="C131" s="213">
        <v>112</v>
      </c>
      <c r="D131" s="213">
        <v>22</v>
      </c>
      <c r="E131" s="213">
        <v>6</v>
      </c>
      <c r="F131" s="213">
        <v>0</v>
      </c>
      <c r="G131" s="223" t="s">
        <v>1478</v>
      </c>
      <c r="H131" s="224">
        <v>0</v>
      </c>
      <c r="I131" s="213">
        <v>0</v>
      </c>
      <c r="J131" s="223">
        <v>0</v>
      </c>
      <c r="K131" s="223">
        <v>0</v>
      </c>
      <c r="L131" s="221">
        <v>1</v>
      </c>
      <c r="M131" s="220">
        <v>55</v>
      </c>
      <c r="N131" s="213">
        <v>60</v>
      </c>
      <c r="O131" s="225">
        <v>0.05</v>
      </c>
      <c r="P131" s="213">
        <v>0</v>
      </c>
      <c r="Q131" s="213">
        <v>0</v>
      </c>
      <c r="R131" s="220">
        <v>0</v>
      </c>
      <c r="S131" s="220">
        <v>0</v>
      </c>
      <c r="T131" s="212">
        <v>0</v>
      </c>
      <c r="U131" s="224">
        <v>0.62</v>
      </c>
      <c r="V131" s="213">
        <v>38</v>
      </c>
      <c r="W131" s="213">
        <v>0</v>
      </c>
      <c r="X131" s="221">
        <v>0</v>
      </c>
      <c r="Y131" s="220">
        <v>75</v>
      </c>
      <c r="Z131" s="213">
        <v>75</v>
      </c>
      <c r="AA131" s="222">
        <v>0</v>
      </c>
      <c r="AB131" s="213">
        <v>0</v>
      </c>
      <c r="AC131" s="213">
        <v>0</v>
      </c>
      <c r="AD131" s="212">
        <v>0</v>
      </c>
      <c r="AE131" s="212">
        <v>0</v>
      </c>
    </row>
    <row r="132" spans="1:31">
      <c r="A132" s="211">
        <v>22</v>
      </c>
      <c r="B132" s="212">
        <v>18</v>
      </c>
      <c r="C132" s="213">
        <v>37</v>
      </c>
      <c r="D132" s="213">
        <v>43</v>
      </c>
      <c r="E132" s="213">
        <v>3</v>
      </c>
      <c r="F132" s="213">
        <v>0</v>
      </c>
      <c r="G132" s="223" t="s">
        <v>1478</v>
      </c>
      <c r="H132" s="224">
        <v>0</v>
      </c>
      <c r="I132" s="213">
        <v>0</v>
      </c>
      <c r="J132" s="223">
        <v>0</v>
      </c>
      <c r="K132" s="223">
        <v>0</v>
      </c>
      <c r="L132" s="221">
        <v>1</v>
      </c>
      <c r="M132" s="220">
        <v>55</v>
      </c>
      <c r="N132" s="213">
        <v>60</v>
      </c>
      <c r="O132" s="225">
        <v>0.05</v>
      </c>
      <c r="P132" s="213">
        <v>0</v>
      </c>
      <c r="Q132" s="213">
        <v>0</v>
      </c>
      <c r="R132" s="220">
        <v>0</v>
      </c>
      <c r="S132" s="220">
        <v>0</v>
      </c>
      <c r="T132" s="212">
        <v>0</v>
      </c>
      <c r="U132" s="224">
        <v>0.63</v>
      </c>
      <c r="V132" s="213">
        <v>13</v>
      </c>
      <c r="W132" s="213">
        <v>0</v>
      </c>
      <c r="X132" s="221">
        <v>0</v>
      </c>
      <c r="Y132" s="220">
        <v>75</v>
      </c>
      <c r="Z132" s="213">
        <v>75</v>
      </c>
      <c r="AA132" s="222">
        <v>0</v>
      </c>
      <c r="AB132" s="213">
        <v>0</v>
      </c>
      <c r="AC132" s="213">
        <v>0</v>
      </c>
      <c r="AD132" s="212">
        <v>0</v>
      </c>
      <c r="AE132" s="212">
        <v>0</v>
      </c>
    </row>
    <row r="133" spans="1:31">
      <c r="A133" s="211">
        <v>21</v>
      </c>
      <c r="B133" s="212">
        <v>17</v>
      </c>
      <c r="C133" s="213">
        <v>155</v>
      </c>
      <c r="D133" s="213">
        <v>57</v>
      </c>
      <c r="E133" s="213">
        <v>4</v>
      </c>
      <c r="F133" s="213">
        <v>0</v>
      </c>
      <c r="G133" s="223" t="s">
        <v>1478</v>
      </c>
      <c r="H133" s="224">
        <v>0</v>
      </c>
      <c r="I133" s="213">
        <v>0</v>
      </c>
      <c r="J133" s="223">
        <v>0</v>
      </c>
      <c r="K133" s="223">
        <v>0</v>
      </c>
      <c r="L133" s="221">
        <v>1</v>
      </c>
      <c r="M133" s="220">
        <v>55</v>
      </c>
      <c r="N133" s="213">
        <v>60</v>
      </c>
      <c r="O133" s="225">
        <v>0.05</v>
      </c>
      <c r="P133" s="213">
        <v>0</v>
      </c>
      <c r="Q133" s="213">
        <v>0</v>
      </c>
      <c r="R133" s="220">
        <v>0</v>
      </c>
      <c r="S133" s="220">
        <v>0</v>
      </c>
      <c r="T133" s="212">
        <v>0</v>
      </c>
      <c r="U133" s="224">
        <v>0.65</v>
      </c>
      <c r="V133" s="213">
        <v>56</v>
      </c>
      <c r="W133" s="213">
        <v>0</v>
      </c>
      <c r="X133" s="221">
        <v>0</v>
      </c>
      <c r="Y133" s="220">
        <v>75</v>
      </c>
      <c r="Z133" s="213">
        <v>75</v>
      </c>
      <c r="AA133" s="222">
        <v>0</v>
      </c>
      <c r="AB133" s="213">
        <v>0</v>
      </c>
      <c r="AC133" s="213">
        <v>0</v>
      </c>
      <c r="AD133" s="212">
        <v>0</v>
      </c>
      <c r="AE133" s="212">
        <v>0</v>
      </c>
    </row>
    <row r="134" spans="1:31">
      <c r="A134" s="211">
        <v>20</v>
      </c>
      <c r="B134" s="212">
        <v>16</v>
      </c>
      <c r="C134" s="213">
        <v>19</v>
      </c>
      <c r="D134" s="213">
        <v>9</v>
      </c>
      <c r="E134" s="213">
        <v>1</v>
      </c>
      <c r="F134" s="213">
        <v>0</v>
      </c>
      <c r="G134" s="223" t="s">
        <v>1478</v>
      </c>
      <c r="H134" s="224">
        <v>0</v>
      </c>
      <c r="I134" s="213">
        <v>0</v>
      </c>
      <c r="J134" s="223">
        <v>0</v>
      </c>
      <c r="K134" s="223">
        <v>0</v>
      </c>
      <c r="L134" s="221">
        <v>1</v>
      </c>
      <c r="M134" s="220">
        <v>55</v>
      </c>
      <c r="N134" s="213">
        <v>60</v>
      </c>
      <c r="O134" s="225">
        <v>0.05</v>
      </c>
      <c r="P134" s="213">
        <v>0</v>
      </c>
      <c r="Q134" s="213">
        <v>0</v>
      </c>
      <c r="R134" s="220">
        <v>0</v>
      </c>
      <c r="S134" s="220">
        <v>0</v>
      </c>
      <c r="T134" s="212">
        <v>0</v>
      </c>
      <c r="U134" s="224">
        <v>0.67</v>
      </c>
      <c r="V134" s="213">
        <v>7</v>
      </c>
      <c r="W134" s="213">
        <v>0</v>
      </c>
      <c r="X134" s="221">
        <v>0</v>
      </c>
      <c r="Y134" s="220">
        <v>75</v>
      </c>
      <c r="Z134" s="213">
        <v>75</v>
      </c>
      <c r="AA134" s="222">
        <v>0</v>
      </c>
      <c r="AB134" s="213">
        <v>0</v>
      </c>
      <c r="AC134" s="213">
        <v>0</v>
      </c>
      <c r="AD134" s="212">
        <v>0</v>
      </c>
      <c r="AE134" s="212">
        <v>0</v>
      </c>
    </row>
    <row r="135" spans="1:31">
      <c r="A135" s="211">
        <v>19</v>
      </c>
      <c r="B135" s="212">
        <v>16</v>
      </c>
      <c r="C135" s="213">
        <v>95</v>
      </c>
      <c r="D135" s="213">
        <v>54</v>
      </c>
      <c r="E135" s="213">
        <v>4</v>
      </c>
      <c r="F135" s="213">
        <v>0</v>
      </c>
      <c r="G135" s="223" t="s">
        <v>1478</v>
      </c>
      <c r="H135" s="224">
        <v>0</v>
      </c>
      <c r="I135" s="213">
        <v>0</v>
      </c>
      <c r="J135" s="223">
        <v>0</v>
      </c>
      <c r="K135" s="223">
        <v>0</v>
      </c>
      <c r="L135" s="221">
        <v>1</v>
      </c>
      <c r="M135" s="220">
        <v>55</v>
      </c>
      <c r="N135" s="213">
        <v>60</v>
      </c>
      <c r="O135" s="225">
        <v>0.05</v>
      </c>
      <c r="P135" s="213">
        <v>0</v>
      </c>
      <c r="Q135" s="213">
        <v>0</v>
      </c>
      <c r="R135" s="220">
        <v>0</v>
      </c>
      <c r="S135" s="220">
        <v>0</v>
      </c>
      <c r="T135" s="212">
        <v>0</v>
      </c>
      <c r="U135" s="224">
        <v>0.68</v>
      </c>
      <c r="V135" s="213">
        <v>36</v>
      </c>
      <c r="W135" s="213">
        <v>0</v>
      </c>
      <c r="X135" s="221">
        <v>0</v>
      </c>
      <c r="Y135" s="220">
        <v>75</v>
      </c>
      <c r="Z135" s="213">
        <v>75</v>
      </c>
      <c r="AA135" s="222">
        <v>0</v>
      </c>
      <c r="AB135" s="213">
        <v>0</v>
      </c>
      <c r="AC135" s="213">
        <v>0</v>
      </c>
      <c r="AD135" s="212">
        <v>0</v>
      </c>
      <c r="AE135" s="212">
        <v>0</v>
      </c>
    </row>
    <row r="136" spans="1:31">
      <c r="A136" s="211">
        <v>18</v>
      </c>
      <c r="B136" s="212">
        <v>15</v>
      </c>
      <c r="C136" s="213">
        <v>19</v>
      </c>
      <c r="D136" s="213">
        <v>12</v>
      </c>
      <c r="E136" s="213">
        <v>2</v>
      </c>
      <c r="F136" s="213">
        <v>0</v>
      </c>
      <c r="G136" s="223" t="s">
        <v>1478</v>
      </c>
      <c r="H136" s="224">
        <v>0</v>
      </c>
      <c r="I136" s="213">
        <v>0</v>
      </c>
      <c r="J136" s="223">
        <v>0</v>
      </c>
      <c r="K136" s="223">
        <v>0</v>
      </c>
      <c r="L136" s="221">
        <v>1</v>
      </c>
      <c r="M136" s="220">
        <v>55</v>
      </c>
      <c r="N136" s="213">
        <v>60</v>
      </c>
      <c r="O136" s="225">
        <v>0.05</v>
      </c>
      <c r="P136" s="213">
        <v>0</v>
      </c>
      <c r="Q136" s="213">
        <v>0</v>
      </c>
      <c r="R136" s="220">
        <v>0</v>
      </c>
      <c r="S136" s="220">
        <v>0</v>
      </c>
      <c r="T136" s="212">
        <v>0</v>
      </c>
      <c r="U136" s="224">
        <v>0.7</v>
      </c>
      <c r="V136" s="213">
        <v>7</v>
      </c>
      <c r="W136" s="213">
        <v>0</v>
      </c>
      <c r="X136" s="221">
        <v>0</v>
      </c>
      <c r="Y136" s="220">
        <v>75</v>
      </c>
      <c r="Z136" s="213">
        <v>75</v>
      </c>
      <c r="AA136" s="222">
        <v>0</v>
      </c>
      <c r="AB136" s="213">
        <v>0</v>
      </c>
      <c r="AC136" s="213">
        <v>0</v>
      </c>
      <c r="AD136" s="212">
        <v>0</v>
      </c>
      <c r="AE136" s="212">
        <v>0</v>
      </c>
    </row>
    <row r="137" spans="1:31">
      <c r="A137" s="211">
        <v>17</v>
      </c>
      <c r="B137" s="212">
        <v>14</v>
      </c>
      <c r="C137" s="213">
        <v>94</v>
      </c>
      <c r="D137" s="213">
        <v>57</v>
      </c>
      <c r="E137" s="213">
        <v>8</v>
      </c>
      <c r="F137" s="213">
        <v>0</v>
      </c>
      <c r="G137" s="223" t="s">
        <v>1478</v>
      </c>
      <c r="H137" s="224">
        <v>0</v>
      </c>
      <c r="I137" s="213">
        <v>0</v>
      </c>
      <c r="J137" s="223">
        <v>0</v>
      </c>
      <c r="K137" s="223">
        <v>0</v>
      </c>
      <c r="L137" s="221">
        <v>1</v>
      </c>
      <c r="M137" s="220">
        <v>55</v>
      </c>
      <c r="N137" s="213">
        <v>60</v>
      </c>
      <c r="O137" s="225">
        <v>0.05</v>
      </c>
      <c r="P137" s="213">
        <v>0</v>
      </c>
      <c r="Q137" s="213">
        <v>0</v>
      </c>
      <c r="R137" s="220">
        <v>0</v>
      </c>
      <c r="S137" s="220">
        <v>0</v>
      </c>
      <c r="T137" s="212">
        <v>0</v>
      </c>
      <c r="U137" s="224">
        <v>0.72</v>
      </c>
      <c r="V137" s="213">
        <v>37</v>
      </c>
      <c r="W137" s="213">
        <v>0</v>
      </c>
      <c r="X137" s="221">
        <v>0</v>
      </c>
      <c r="Y137" s="220">
        <v>75</v>
      </c>
      <c r="Z137" s="213">
        <v>75</v>
      </c>
      <c r="AA137" s="222">
        <v>0</v>
      </c>
      <c r="AB137" s="213">
        <v>0</v>
      </c>
      <c r="AC137" s="213">
        <v>0</v>
      </c>
      <c r="AD137" s="212">
        <v>0</v>
      </c>
      <c r="AE137" s="212">
        <v>0</v>
      </c>
    </row>
    <row r="138" spans="1:31">
      <c r="A138" s="211">
        <v>16</v>
      </c>
      <c r="B138" s="212">
        <v>13</v>
      </c>
      <c r="C138" s="213">
        <v>20</v>
      </c>
      <c r="D138" s="213">
        <v>10</v>
      </c>
      <c r="E138" s="213">
        <v>0</v>
      </c>
      <c r="F138" s="213">
        <v>0</v>
      </c>
      <c r="G138" s="223" t="s">
        <v>1478</v>
      </c>
      <c r="H138" s="224">
        <v>0</v>
      </c>
      <c r="I138" s="213">
        <v>0</v>
      </c>
      <c r="J138" s="223">
        <v>0</v>
      </c>
      <c r="K138" s="223">
        <v>0</v>
      </c>
      <c r="L138" s="221">
        <v>1</v>
      </c>
      <c r="M138" s="220">
        <v>55</v>
      </c>
      <c r="N138" s="213">
        <v>60</v>
      </c>
      <c r="O138" s="225">
        <v>0.05</v>
      </c>
      <c r="P138" s="213">
        <v>0</v>
      </c>
      <c r="Q138" s="213">
        <v>0</v>
      </c>
      <c r="R138" s="220">
        <v>0</v>
      </c>
      <c r="S138" s="220">
        <v>0</v>
      </c>
      <c r="T138" s="212">
        <v>0</v>
      </c>
      <c r="U138" s="224">
        <v>0.73</v>
      </c>
      <c r="V138" s="213">
        <v>8</v>
      </c>
      <c r="W138" s="213">
        <v>0</v>
      </c>
      <c r="X138" s="221">
        <v>0</v>
      </c>
      <c r="Y138" s="220">
        <v>75</v>
      </c>
      <c r="Z138" s="213">
        <v>75</v>
      </c>
      <c r="AA138" s="222">
        <v>0</v>
      </c>
      <c r="AB138" s="213">
        <v>0</v>
      </c>
      <c r="AC138" s="213">
        <v>0</v>
      </c>
      <c r="AD138" s="212">
        <v>0</v>
      </c>
      <c r="AE138" s="212">
        <v>0</v>
      </c>
    </row>
    <row r="139" spans="1:31">
      <c r="A139" s="211">
        <v>15</v>
      </c>
      <c r="B139" s="212">
        <v>12</v>
      </c>
      <c r="C139" s="213">
        <v>102</v>
      </c>
      <c r="D139" s="213">
        <v>45</v>
      </c>
      <c r="E139" s="213">
        <v>5</v>
      </c>
      <c r="F139" s="213">
        <v>0</v>
      </c>
      <c r="G139" s="223" t="s">
        <v>1478</v>
      </c>
      <c r="H139" s="224">
        <v>0</v>
      </c>
      <c r="I139" s="213">
        <v>0</v>
      </c>
      <c r="J139" s="223">
        <v>0</v>
      </c>
      <c r="K139" s="223">
        <v>0</v>
      </c>
      <c r="L139" s="221">
        <v>1</v>
      </c>
      <c r="M139" s="220">
        <v>55</v>
      </c>
      <c r="N139" s="213">
        <v>60</v>
      </c>
      <c r="O139" s="225">
        <v>0.05</v>
      </c>
      <c r="P139" s="213">
        <v>0</v>
      </c>
      <c r="Q139" s="213">
        <v>0</v>
      </c>
      <c r="R139" s="220">
        <v>0</v>
      </c>
      <c r="S139" s="220">
        <v>0</v>
      </c>
      <c r="T139" s="212">
        <v>0</v>
      </c>
      <c r="U139" s="224">
        <v>0.75</v>
      </c>
      <c r="V139" s="213">
        <v>42</v>
      </c>
      <c r="W139" s="213">
        <v>0</v>
      </c>
      <c r="X139" s="221">
        <v>0</v>
      </c>
      <c r="Y139" s="220">
        <v>75</v>
      </c>
      <c r="Z139" s="213">
        <v>75</v>
      </c>
      <c r="AA139" s="222">
        <v>0</v>
      </c>
      <c r="AB139" s="213">
        <v>0</v>
      </c>
      <c r="AC139" s="213">
        <v>0</v>
      </c>
      <c r="AD139" s="212">
        <v>0</v>
      </c>
      <c r="AE139" s="212">
        <v>0</v>
      </c>
    </row>
    <row r="140" spans="1:31">
      <c r="A140" s="211">
        <v>14</v>
      </c>
      <c r="B140" s="212">
        <v>11</v>
      </c>
      <c r="C140" s="213">
        <v>50</v>
      </c>
      <c r="D140" s="213">
        <v>8</v>
      </c>
      <c r="E140" s="213">
        <v>1</v>
      </c>
      <c r="F140" s="213">
        <v>0</v>
      </c>
      <c r="G140" s="223" t="s">
        <v>1478</v>
      </c>
      <c r="H140" s="224">
        <v>0</v>
      </c>
      <c r="I140" s="213">
        <v>0</v>
      </c>
      <c r="J140" s="223">
        <v>0</v>
      </c>
      <c r="K140" s="223">
        <v>0</v>
      </c>
      <c r="L140" s="221">
        <v>1</v>
      </c>
      <c r="M140" s="220">
        <v>55</v>
      </c>
      <c r="N140" s="213">
        <v>60</v>
      </c>
      <c r="O140" s="225">
        <v>0.05</v>
      </c>
      <c r="P140" s="213">
        <v>0</v>
      </c>
      <c r="Q140" s="213">
        <v>0</v>
      </c>
      <c r="R140" s="220">
        <v>0</v>
      </c>
      <c r="S140" s="220">
        <v>0</v>
      </c>
      <c r="T140" s="212">
        <v>0</v>
      </c>
      <c r="U140" s="224">
        <v>0.77</v>
      </c>
      <c r="V140" s="213">
        <v>21</v>
      </c>
      <c r="W140" s="213">
        <v>0</v>
      </c>
      <c r="X140" s="221">
        <v>0</v>
      </c>
      <c r="Y140" s="220">
        <v>75</v>
      </c>
      <c r="Z140" s="213">
        <v>75</v>
      </c>
      <c r="AA140" s="222">
        <v>0</v>
      </c>
      <c r="AB140" s="213">
        <v>0</v>
      </c>
      <c r="AC140" s="213">
        <v>0</v>
      </c>
      <c r="AD140" s="212">
        <v>0</v>
      </c>
      <c r="AE140" s="212">
        <v>0</v>
      </c>
    </row>
    <row r="141" spans="1:31">
      <c r="A141" s="211">
        <v>13</v>
      </c>
      <c r="B141" s="212">
        <v>10</v>
      </c>
      <c r="C141" s="213">
        <v>35</v>
      </c>
      <c r="D141" s="213">
        <v>33</v>
      </c>
      <c r="E141" s="213">
        <v>1</v>
      </c>
      <c r="F141" s="213">
        <v>0</v>
      </c>
      <c r="G141" s="223" t="s">
        <v>1478</v>
      </c>
      <c r="H141" s="224">
        <v>0</v>
      </c>
      <c r="I141" s="213">
        <v>0</v>
      </c>
      <c r="J141" s="223">
        <v>0</v>
      </c>
      <c r="K141" s="223">
        <v>0</v>
      </c>
      <c r="L141" s="221">
        <v>1</v>
      </c>
      <c r="M141" s="220">
        <v>55</v>
      </c>
      <c r="N141" s="213">
        <v>60</v>
      </c>
      <c r="O141" s="225">
        <v>0.05</v>
      </c>
      <c r="P141" s="213">
        <v>0</v>
      </c>
      <c r="Q141" s="213">
        <v>0</v>
      </c>
      <c r="R141" s="220">
        <v>0</v>
      </c>
      <c r="S141" s="220">
        <v>0</v>
      </c>
      <c r="T141" s="212">
        <v>0</v>
      </c>
      <c r="U141" s="224">
        <v>0.78</v>
      </c>
      <c r="V141" s="213">
        <v>15</v>
      </c>
      <c r="W141" s="213">
        <v>0</v>
      </c>
      <c r="X141" s="221">
        <v>0</v>
      </c>
      <c r="Y141" s="220">
        <v>75</v>
      </c>
      <c r="Z141" s="213">
        <v>75</v>
      </c>
      <c r="AA141" s="222">
        <v>0</v>
      </c>
      <c r="AB141" s="213">
        <v>0</v>
      </c>
      <c r="AC141" s="213">
        <v>0</v>
      </c>
      <c r="AD141" s="212">
        <v>0</v>
      </c>
      <c r="AE141" s="212">
        <v>0</v>
      </c>
    </row>
    <row r="142" spans="1:31">
      <c r="A142" s="211">
        <v>12</v>
      </c>
      <c r="B142" s="212">
        <v>9</v>
      </c>
      <c r="C142" s="213">
        <v>83</v>
      </c>
      <c r="D142" s="213">
        <v>37</v>
      </c>
      <c r="E142" s="213">
        <v>3</v>
      </c>
      <c r="F142" s="213">
        <v>0</v>
      </c>
      <c r="G142" s="223" t="s">
        <v>1478</v>
      </c>
      <c r="H142" s="224">
        <v>0</v>
      </c>
      <c r="I142" s="213">
        <v>0</v>
      </c>
      <c r="J142" s="223">
        <v>0</v>
      </c>
      <c r="K142" s="223">
        <v>0</v>
      </c>
      <c r="L142" s="221">
        <v>1</v>
      </c>
      <c r="M142" s="220">
        <v>55</v>
      </c>
      <c r="N142" s="213">
        <v>60</v>
      </c>
      <c r="O142" s="225">
        <v>0.05</v>
      </c>
      <c r="P142" s="213">
        <v>0</v>
      </c>
      <c r="Q142" s="213">
        <v>0</v>
      </c>
      <c r="R142" s="220">
        <v>0</v>
      </c>
      <c r="S142" s="220">
        <v>0</v>
      </c>
      <c r="T142" s="212">
        <v>0</v>
      </c>
      <c r="U142" s="224">
        <v>0.8</v>
      </c>
      <c r="V142" s="213">
        <v>37</v>
      </c>
      <c r="W142" s="213">
        <v>0</v>
      </c>
      <c r="X142" s="221">
        <v>0</v>
      </c>
      <c r="Y142" s="220">
        <v>75</v>
      </c>
      <c r="Z142" s="213">
        <v>75</v>
      </c>
      <c r="AA142" s="222">
        <v>0</v>
      </c>
      <c r="AB142" s="213">
        <v>0</v>
      </c>
      <c r="AC142" s="213">
        <v>0</v>
      </c>
      <c r="AD142" s="212">
        <v>0</v>
      </c>
      <c r="AE142" s="212">
        <v>0</v>
      </c>
    </row>
    <row r="143" spans="1:31">
      <c r="A143" s="211">
        <v>11</v>
      </c>
      <c r="B143" s="212">
        <v>8</v>
      </c>
      <c r="C143" s="213">
        <v>22</v>
      </c>
      <c r="D143" s="213">
        <v>7</v>
      </c>
      <c r="E143" s="213">
        <v>0</v>
      </c>
      <c r="F143" s="213">
        <v>0</v>
      </c>
      <c r="G143" s="223" t="s">
        <v>1478</v>
      </c>
      <c r="H143" s="224">
        <v>0</v>
      </c>
      <c r="I143" s="213">
        <v>0</v>
      </c>
      <c r="J143" s="223">
        <v>0</v>
      </c>
      <c r="K143" s="223">
        <v>0</v>
      </c>
      <c r="L143" s="221">
        <v>1</v>
      </c>
      <c r="M143" s="220">
        <v>55</v>
      </c>
      <c r="N143" s="213">
        <v>60</v>
      </c>
      <c r="O143" s="225">
        <v>0.05</v>
      </c>
      <c r="P143" s="213">
        <v>0</v>
      </c>
      <c r="Q143" s="213">
        <v>0</v>
      </c>
      <c r="R143" s="220">
        <v>0</v>
      </c>
      <c r="S143" s="220">
        <v>0</v>
      </c>
      <c r="T143" s="212">
        <v>0</v>
      </c>
      <c r="U143" s="224">
        <v>0.82</v>
      </c>
      <c r="V143" s="213">
        <v>10</v>
      </c>
      <c r="W143" s="213">
        <v>0</v>
      </c>
      <c r="X143" s="221">
        <v>0</v>
      </c>
      <c r="Y143" s="220">
        <v>75</v>
      </c>
      <c r="Z143" s="213">
        <v>75</v>
      </c>
      <c r="AA143" s="222">
        <v>0</v>
      </c>
      <c r="AB143" s="213">
        <v>0</v>
      </c>
      <c r="AC143" s="213">
        <v>0</v>
      </c>
      <c r="AD143" s="212">
        <v>0</v>
      </c>
      <c r="AE143" s="212">
        <v>0</v>
      </c>
    </row>
    <row r="144" spans="1:31">
      <c r="A144" s="211">
        <v>10</v>
      </c>
      <c r="B144" s="212">
        <v>7</v>
      </c>
      <c r="C144" s="213">
        <v>73</v>
      </c>
      <c r="D144" s="213">
        <v>40</v>
      </c>
      <c r="E144" s="213">
        <v>5</v>
      </c>
      <c r="F144" s="213">
        <v>0</v>
      </c>
      <c r="G144" s="223" t="s">
        <v>1478</v>
      </c>
      <c r="H144" s="224">
        <v>0</v>
      </c>
      <c r="I144" s="213">
        <v>0</v>
      </c>
      <c r="J144" s="223">
        <v>0</v>
      </c>
      <c r="K144" s="223">
        <v>0</v>
      </c>
      <c r="L144" s="221">
        <v>1</v>
      </c>
      <c r="M144" s="220">
        <v>55</v>
      </c>
      <c r="N144" s="213">
        <v>60</v>
      </c>
      <c r="O144" s="225">
        <v>0.05</v>
      </c>
      <c r="P144" s="213">
        <v>0</v>
      </c>
      <c r="Q144" s="213">
        <v>0</v>
      </c>
      <c r="R144" s="220">
        <v>0</v>
      </c>
      <c r="S144" s="220">
        <v>0</v>
      </c>
      <c r="T144" s="212">
        <v>0</v>
      </c>
      <c r="U144" s="224">
        <v>0.83</v>
      </c>
      <c r="V144" s="213">
        <v>34</v>
      </c>
      <c r="W144" s="213">
        <v>0</v>
      </c>
      <c r="X144" s="221">
        <v>0</v>
      </c>
      <c r="Y144" s="220">
        <v>75</v>
      </c>
      <c r="Z144" s="213">
        <v>75</v>
      </c>
      <c r="AA144" s="222">
        <v>0</v>
      </c>
      <c r="AB144" s="213">
        <v>0</v>
      </c>
      <c r="AC144" s="213">
        <v>0</v>
      </c>
      <c r="AD144" s="212">
        <v>0</v>
      </c>
      <c r="AE144" s="212">
        <v>0</v>
      </c>
    </row>
    <row r="145" spans="1:31">
      <c r="A145" s="211">
        <v>9</v>
      </c>
      <c r="B145" s="212">
        <v>6</v>
      </c>
      <c r="C145" s="213">
        <v>15</v>
      </c>
      <c r="D145" s="213">
        <v>8</v>
      </c>
      <c r="E145" s="213">
        <v>0</v>
      </c>
      <c r="F145" s="213">
        <v>0</v>
      </c>
      <c r="G145" s="223" t="s">
        <v>1478</v>
      </c>
      <c r="H145" s="224">
        <v>0</v>
      </c>
      <c r="I145" s="213">
        <v>0</v>
      </c>
      <c r="J145" s="223">
        <v>0</v>
      </c>
      <c r="K145" s="223">
        <v>0</v>
      </c>
      <c r="L145" s="221">
        <v>1</v>
      </c>
      <c r="M145" s="220">
        <v>55</v>
      </c>
      <c r="N145" s="213">
        <v>60</v>
      </c>
      <c r="O145" s="225">
        <v>0.05</v>
      </c>
      <c r="P145" s="213">
        <v>0</v>
      </c>
      <c r="Q145" s="213">
        <v>0</v>
      </c>
      <c r="R145" s="220">
        <v>0</v>
      </c>
      <c r="S145" s="220">
        <v>0</v>
      </c>
      <c r="T145" s="212">
        <v>0</v>
      </c>
      <c r="U145" s="224">
        <v>0.85</v>
      </c>
      <c r="V145" s="213">
        <v>7</v>
      </c>
      <c r="W145" s="213">
        <v>0</v>
      </c>
      <c r="X145" s="221">
        <v>0</v>
      </c>
      <c r="Y145" s="220">
        <v>75</v>
      </c>
      <c r="Z145" s="213">
        <v>75</v>
      </c>
      <c r="AA145" s="222">
        <v>0</v>
      </c>
      <c r="AB145" s="213">
        <v>0</v>
      </c>
      <c r="AC145" s="213">
        <v>0</v>
      </c>
      <c r="AD145" s="212">
        <v>0</v>
      </c>
      <c r="AE145" s="212">
        <v>0</v>
      </c>
    </row>
    <row r="146" spans="1:31">
      <c r="A146" s="211">
        <v>8</v>
      </c>
      <c r="B146" s="212">
        <v>5</v>
      </c>
      <c r="C146" s="213">
        <v>41</v>
      </c>
      <c r="D146" s="213">
        <v>22</v>
      </c>
      <c r="E146" s="213">
        <v>3</v>
      </c>
      <c r="F146" s="213">
        <v>0</v>
      </c>
      <c r="G146" s="223" t="s">
        <v>1478</v>
      </c>
      <c r="H146" s="224">
        <v>0</v>
      </c>
      <c r="I146" s="213">
        <v>0</v>
      </c>
      <c r="J146" s="223">
        <v>0</v>
      </c>
      <c r="K146" s="223">
        <v>0</v>
      </c>
      <c r="L146" s="221">
        <v>1</v>
      </c>
      <c r="M146" s="220">
        <v>55</v>
      </c>
      <c r="N146" s="213">
        <v>60</v>
      </c>
      <c r="O146" s="225">
        <v>0.05</v>
      </c>
      <c r="P146" s="213">
        <v>0</v>
      </c>
      <c r="Q146" s="213">
        <v>0</v>
      </c>
      <c r="R146" s="220">
        <v>0</v>
      </c>
      <c r="S146" s="220">
        <v>0</v>
      </c>
      <c r="T146" s="212">
        <v>0</v>
      </c>
      <c r="U146" s="224">
        <v>0.87</v>
      </c>
      <c r="V146" s="213">
        <v>20</v>
      </c>
      <c r="W146" s="213">
        <v>0</v>
      </c>
      <c r="X146" s="221">
        <v>0</v>
      </c>
      <c r="Y146" s="220">
        <v>75</v>
      </c>
      <c r="Z146" s="213">
        <v>75</v>
      </c>
      <c r="AA146" s="222">
        <v>0</v>
      </c>
      <c r="AB146" s="213">
        <v>0</v>
      </c>
      <c r="AC146" s="213">
        <v>0</v>
      </c>
      <c r="AD146" s="212">
        <v>0</v>
      </c>
      <c r="AE146" s="212">
        <v>0</v>
      </c>
    </row>
    <row r="147" spans="1:31">
      <c r="A147" s="211">
        <v>7</v>
      </c>
      <c r="B147" s="212">
        <v>4</v>
      </c>
      <c r="C147" s="213">
        <v>10</v>
      </c>
      <c r="D147" s="213">
        <v>6</v>
      </c>
      <c r="E147" s="213">
        <v>0</v>
      </c>
      <c r="F147" s="213">
        <v>0</v>
      </c>
      <c r="G147" s="223" t="s">
        <v>1478</v>
      </c>
      <c r="H147" s="224">
        <v>0</v>
      </c>
      <c r="I147" s="213">
        <v>0</v>
      </c>
      <c r="J147" s="223">
        <v>0</v>
      </c>
      <c r="K147" s="223">
        <v>0</v>
      </c>
      <c r="L147" s="221">
        <v>1</v>
      </c>
      <c r="M147" s="220">
        <v>55</v>
      </c>
      <c r="N147" s="213">
        <v>60</v>
      </c>
      <c r="O147" s="225">
        <v>0.05</v>
      </c>
      <c r="P147" s="213">
        <v>0</v>
      </c>
      <c r="Q147" s="213">
        <v>0</v>
      </c>
      <c r="R147" s="220">
        <v>0</v>
      </c>
      <c r="S147" s="220">
        <v>0</v>
      </c>
      <c r="T147" s="212">
        <v>0</v>
      </c>
      <c r="U147" s="224">
        <v>0.88</v>
      </c>
      <c r="V147" s="213">
        <v>5</v>
      </c>
      <c r="W147" s="213">
        <v>0</v>
      </c>
      <c r="X147" s="221">
        <v>0</v>
      </c>
      <c r="Y147" s="220">
        <v>75</v>
      </c>
      <c r="Z147" s="213">
        <v>75</v>
      </c>
      <c r="AA147" s="222">
        <v>0</v>
      </c>
      <c r="AB147" s="213">
        <v>0</v>
      </c>
      <c r="AC147" s="213">
        <v>0</v>
      </c>
      <c r="AD147" s="212">
        <v>0</v>
      </c>
      <c r="AE147" s="212">
        <v>0</v>
      </c>
    </row>
    <row r="148" spans="1:31">
      <c r="A148" s="211">
        <v>6</v>
      </c>
      <c r="B148" s="212">
        <v>4</v>
      </c>
      <c r="C148" s="213">
        <v>40</v>
      </c>
      <c r="D148" s="213">
        <v>17</v>
      </c>
      <c r="E148" s="213">
        <v>0</v>
      </c>
      <c r="F148" s="213">
        <v>0</v>
      </c>
      <c r="G148" s="223" t="s">
        <v>1478</v>
      </c>
      <c r="H148" s="224">
        <v>0</v>
      </c>
      <c r="I148" s="213">
        <v>0</v>
      </c>
      <c r="J148" s="223">
        <v>0</v>
      </c>
      <c r="K148" s="223">
        <v>0</v>
      </c>
      <c r="L148" s="221">
        <v>1</v>
      </c>
      <c r="M148" s="220">
        <v>55</v>
      </c>
      <c r="N148" s="213">
        <v>60</v>
      </c>
      <c r="O148" s="225">
        <v>0.05</v>
      </c>
      <c r="P148" s="213">
        <v>0</v>
      </c>
      <c r="Q148" s="213">
        <v>0</v>
      </c>
      <c r="R148" s="220">
        <v>0</v>
      </c>
      <c r="S148" s="220">
        <v>0</v>
      </c>
      <c r="T148" s="212">
        <v>0</v>
      </c>
      <c r="U148" s="224">
        <v>0.9</v>
      </c>
      <c r="V148" s="213">
        <v>20</v>
      </c>
      <c r="W148" s="213">
        <v>0</v>
      </c>
      <c r="X148" s="221">
        <v>0</v>
      </c>
      <c r="Y148" s="220">
        <v>75</v>
      </c>
      <c r="Z148" s="213">
        <v>75</v>
      </c>
      <c r="AA148" s="222">
        <v>0</v>
      </c>
      <c r="AB148" s="213">
        <v>0</v>
      </c>
      <c r="AC148" s="213">
        <v>0</v>
      </c>
      <c r="AD148" s="212">
        <v>0</v>
      </c>
      <c r="AE148" s="212">
        <v>0</v>
      </c>
    </row>
    <row r="149" spans="1:31">
      <c r="A149" s="211">
        <v>5</v>
      </c>
      <c r="B149" s="212">
        <v>3</v>
      </c>
      <c r="C149" s="213">
        <v>20</v>
      </c>
      <c r="D149" s="213">
        <v>4</v>
      </c>
      <c r="E149" s="213">
        <v>1</v>
      </c>
      <c r="F149" s="213">
        <v>0</v>
      </c>
      <c r="G149" s="223" t="s">
        <v>1478</v>
      </c>
      <c r="H149" s="224">
        <v>0</v>
      </c>
      <c r="I149" s="213">
        <v>0</v>
      </c>
      <c r="J149" s="223">
        <v>0</v>
      </c>
      <c r="K149" s="223">
        <v>0</v>
      </c>
      <c r="L149" s="221">
        <v>1</v>
      </c>
      <c r="M149" s="220">
        <v>55</v>
      </c>
      <c r="N149" s="213">
        <v>60</v>
      </c>
      <c r="O149" s="225">
        <v>0.05</v>
      </c>
      <c r="P149" s="213">
        <v>0</v>
      </c>
      <c r="Q149" s="213">
        <v>0</v>
      </c>
      <c r="R149" s="220">
        <v>0</v>
      </c>
      <c r="S149" s="220">
        <v>0</v>
      </c>
      <c r="T149" s="212">
        <v>0</v>
      </c>
      <c r="U149" s="224">
        <v>0.92</v>
      </c>
      <c r="V149" s="213">
        <v>10</v>
      </c>
      <c r="W149" s="213">
        <v>0</v>
      </c>
      <c r="X149" s="221">
        <v>0</v>
      </c>
      <c r="Y149" s="220">
        <v>75</v>
      </c>
      <c r="Z149" s="213">
        <v>75</v>
      </c>
      <c r="AA149" s="222">
        <v>0</v>
      </c>
      <c r="AB149" s="213">
        <v>0</v>
      </c>
      <c r="AC149" s="213">
        <v>0</v>
      </c>
      <c r="AD149" s="212">
        <v>0</v>
      </c>
      <c r="AE149" s="212">
        <v>0</v>
      </c>
    </row>
    <row r="150" spans="1:31">
      <c r="A150" s="211">
        <v>4</v>
      </c>
      <c r="B150" s="212">
        <v>2</v>
      </c>
      <c r="C150" s="213">
        <v>6</v>
      </c>
      <c r="D150" s="213">
        <v>7</v>
      </c>
      <c r="E150" s="213">
        <v>1</v>
      </c>
      <c r="F150" s="213">
        <v>0</v>
      </c>
      <c r="G150" s="223" t="s">
        <v>1478</v>
      </c>
      <c r="H150" s="224">
        <v>0</v>
      </c>
      <c r="I150" s="213">
        <v>0</v>
      </c>
      <c r="J150" s="223">
        <v>0</v>
      </c>
      <c r="K150" s="223">
        <v>0</v>
      </c>
      <c r="L150" s="221">
        <v>1</v>
      </c>
      <c r="M150" s="220">
        <v>55</v>
      </c>
      <c r="N150" s="213">
        <v>60</v>
      </c>
      <c r="O150" s="225">
        <v>0.05</v>
      </c>
      <c r="P150" s="213">
        <v>0</v>
      </c>
      <c r="Q150" s="213">
        <v>0</v>
      </c>
      <c r="R150" s="220">
        <v>0</v>
      </c>
      <c r="S150" s="220">
        <v>0</v>
      </c>
      <c r="T150" s="212">
        <v>0</v>
      </c>
      <c r="U150" s="224">
        <v>0.93</v>
      </c>
      <c r="V150" s="213">
        <v>3</v>
      </c>
      <c r="W150" s="213">
        <v>0</v>
      </c>
      <c r="X150" s="221">
        <v>0</v>
      </c>
      <c r="Y150" s="220">
        <v>75</v>
      </c>
      <c r="Z150" s="213">
        <v>75</v>
      </c>
      <c r="AA150" s="222">
        <v>0</v>
      </c>
      <c r="AB150" s="213">
        <v>0</v>
      </c>
      <c r="AC150" s="213">
        <v>0</v>
      </c>
      <c r="AD150" s="212">
        <v>0</v>
      </c>
      <c r="AE150" s="212">
        <v>0</v>
      </c>
    </row>
    <row r="151" spans="1:31">
      <c r="A151" s="211">
        <v>3</v>
      </c>
      <c r="B151" s="212">
        <v>0</v>
      </c>
      <c r="C151" s="213">
        <v>23</v>
      </c>
      <c r="D151" s="213">
        <v>8</v>
      </c>
      <c r="E151" s="213">
        <v>2</v>
      </c>
      <c r="F151" s="213">
        <v>0</v>
      </c>
      <c r="G151" s="223" t="s">
        <v>1478</v>
      </c>
      <c r="H151" s="224">
        <v>0</v>
      </c>
      <c r="I151" s="213">
        <v>0</v>
      </c>
      <c r="J151" s="223">
        <v>0</v>
      </c>
      <c r="K151" s="223">
        <v>0</v>
      </c>
      <c r="L151" s="221">
        <v>1</v>
      </c>
      <c r="M151" s="220">
        <v>55</v>
      </c>
      <c r="N151" s="213">
        <v>60</v>
      </c>
      <c r="O151" s="225">
        <v>0.05</v>
      </c>
      <c r="P151" s="213">
        <v>0</v>
      </c>
      <c r="Q151" s="213">
        <v>0</v>
      </c>
      <c r="R151" s="220">
        <v>0</v>
      </c>
      <c r="S151" s="220">
        <v>0</v>
      </c>
      <c r="T151" s="212">
        <v>0</v>
      </c>
      <c r="U151" s="224">
        <v>0.95</v>
      </c>
      <c r="V151" s="213">
        <v>12</v>
      </c>
      <c r="W151" s="213">
        <v>0</v>
      </c>
      <c r="X151" s="221">
        <v>0</v>
      </c>
      <c r="Y151" s="220">
        <v>75</v>
      </c>
      <c r="Z151" s="213">
        <v>75</v>
      </c>
      <c r="AA151" s="222">
        <v>0</v>
      </c>
      <c r="AB151" s="213">
        <v>0</v>
      </c>
      <c r="AC151" s="213">
        <v>0</v>
      </c>
      <c r="AD151" s="212">
        <v>0</v>
      </c>
      <c r="AE151" s="212">
        <v>0</v>
      </c>
    </row>
    <row r="152" spans="1:31">
      <c r="A152" s="211">
        <v>2</v>
      </c>
      <c r="B152" s="212">
        <v>0</v>
      </c>
      <c r="C152" s="213">
        <v>11</v>
      </c>
      <c r="D152" s="213">
        <v>3</v>
      </c>
      <c r="E152" s="213">
        <v>0</v>
      </c>
      <c r="F152" s="213">
        <v>0</v>
      </c>
      <c r="G152" s="223" t="s">
        <v>1478</v>
      </c>
      <c r="H152" s="224">
        <v>0</v>
      </c>
      <c r="I152" s="213">
        <v>0</v>
      </c>
      <c r="J152" s="223">
        <v>0</v>
      </c>
      <c r="K152" s="223">
        <v>0</v>
      </c>
      <c r="L152" s="221">
        <v>1</v>
      </c>
      <c r="M152" s="220">
        <v>55</v>
      </c>
      <c r="N152" s="213">
        <v>60</v>
      </c>
      <c r="O152" s="225">
        <v>0.05</v>
      </c>
      <c r="P152" s="213">
        <v>0</v>
      </c>
      <c r="Q152" s="213">
        <v>0</v>
      </c>
      <c r="R152" s="220">
        <v>0</v>
      </c>
      <c r="S152" s="220">
        <v>0</v>
      </c>
      <c r="T152" s="212">
        <v>0</v>
      </c>
      <c r="U152" s="224">
        <v>0.97</v>
      </c>
      <c r="V152" s="213">
        <v>6</v>
      </c>
      <c r="W152" s="213">
        <v>0</v>
      </c>
      <c r="X152" s="221">
        <v>0</v>
      </c>
      <c r="Y152" s="220">
        <v>75</v>
      </c>
      <c r="Z152" s="213">
        <v>75</v>
      </c>
      <c r="AA152" s="222">
        <v>0</v>
      </c>
      <c r="AB152" s="213">
        <v>0</v>
      </c>
      <c r="AC152" s="213">
        <v>0</v>
      </c>
      <c r="AD152" s="212">
        <v>0</v>
      </c>
      <c r="AE152" s="212">
        <v>0</v>
      </c>
    </row>
    <row r="153" spans="1:31">
      <c r="A153" s="211">
        <v>1</v>
      </c>
      <c r="B153" s="212">
        <v>-1</v>
      </c>
      <c r="C153" s="213">
        <v>13</v>
      </c>
      <c r="D153" s="213">
        <v>7</v>
      </c>
      <c r="E153" s="213">
        <v>0</v>
      </c>
      <c r="F153" s="213">
        <v>0</v>
      </c>
      <c r="G153" s="223" t="s">
        <v>1478</v>
      </c>
      <c r="H153" s="224">
        <v>0</v>
      </c>
      <c r="I153" s="213">
        <v>0</v>
      </c>
      <c r="J153" s="223">
        <v>0</v>
      </c>
      <c r="K153" s="223">
        <v>0</v>
      </c>
      <c r="L153" s="221">
        <v>1</v>
      </c>
      <c r="M153" s="220">
        <v>55</v>
      </c>
      <c r="N153" s="213">
        <v>60</v>
      </c>
      <c r="O153" s="225">
        <v>0.05</v>
      </c>
      <c r="P153" s="213">
        <v>0</v>
      </c>
      <c r="Q153" s="213">
        <v>0</v>
      </c>
      <c r="R153" s="220">
        <v>0</v>
      </c>
      <c r="S153" s="220">
        <v>0</v>
      </c>
      <c r="T153" s="212">
        <v>0</v>
      </c>
      <c r="U153" s="224">
        <v>0.98</v>
      </c>
      <c r="V153" s="213">
        <v>7</v>
      </c>
      <c r="W153" s="213">
        <v>0</v>
      </c>
      <c r="X153" s="221">
        <v>0</v>
      </c>
      <c r="Y153" s="220">
        <v>75</v>
      </c>
      <c r="Z153" s="213">
        <v>75</v>
      </c>
      <c r="AA153" s="222">
        <v>0</v>
      </c>
      <c r="AB153" s="213">
        <v>0</v>
      </c>
      <c r="AC153" s="213">
        <v>0</v>
      </c>
      <c r="AD153" s="212">
        <v>0</v>
      </c>
      <c r="AE153" s="212">
        <v>0</v>
      </c>
    </row>
    <row r="154" spans="1:31">
      <c r="A154" s="211">
        <v>0</v>
      </c>
      <c r="B154" s="212">
        <v>-2</v>
      </c>
      <c r="C154" s="213">
        <v>2</v>
      </c>
      <c r="D154" s="213">
        <v>1</v>
      </c>
      <c r="E154" s="213">
        <v>0</v>
      </c>
      <c r="F154" s="213">
        <v>0</v>
      </c>
      <c r="G154" s="223" t="s">
        <v>1478</v>
      </c>
      <c r="H154" s="224">
        <v>0</v>
      </c>
      <c r="I154" s="213">
        <v>0</v>
      </c>
      <c r="J154" s="223">
        <v>0</v>
      </c>
      <c r="K154" s="223">
        <v>0</v>
      </c>
      <c r="L154" s="221">
        <v>1</v>
      </c>
      <c r="M154" s="220">
        <v>55</v>
      </c>
      <c r="N154" s="213">
        <v>60</v>
      </c>
      <c r="O154" s="225">
        <v>0.05</v>
      </c>
      <c r="P154" s="213">
        <v>0</v>
      </c>
      <c r="Q154" s="213">
        <v>0</v>
      </c>
      <c r="R154" s="220">
        <v>0</v>
      </c>
      <c r="S154" s="220">
        <v>0</v>
      </c>
      <c r="T154" s="212">
        <v>0</v>
      </c>
      <c r="U154" s="224">
        <v>1</v>
      </c>
      <c r="V154" s="213">
        <v>1</v>
      </c>
      <c r="W154" s="213">
        <v>0</v>
      </c>
      <c r="X154" s="221">
        <v>0</v>
      </c>
      <c r="Y154" s="220">
        <v>75</v>
      </c>
      <c r="Z154" s="213">
        <v>75</v>
      </c>
      <c r="AA154" s="222">
        <v>0</v>
      </c>
      <c r="AB154" s="213">
        <v>0</v>
      </c>
      <c r="AC154" s="213">
        <v>0</v>
      </c>
      <c r="AD154" s="212">
        <v>0</v>
      </c>
      <c r="AE154" s="212">
        <v>0</v>
      </c>
    </row>
    <row r="155" spans="1:31">
      <c r="A155" s="211">
        <v>-1</v>
      </c>
      <c r="B155" s="212">
        <v>-3</v>
      </c>
      <c r="C155" s="213">
        <v>7</v>
      </c>
      <c r="D155" s="213">
        <v>4</v>
      </c>
      <c r="E155" s="213">
        <v>1</v>
      </c>
      <c r="F155" s="213">
        <v>0</v>
      </c>
      <c r="G155" s="223" t="s">
        <v>1478</v>
      </c>
      <c r="H155" s="224">
        <v>0</v>
      </c>
      <c r="I155" s="213">
        <v>0</v>
      </c>
      <c r="J155" s="223">
        <v>0</v>
      </c>
      <c r="K155" s="223">
        <v>0</v>
      </c>
      <c r="L155" s="221">
        <v>1</v>
      </c>
      <c r="M155" s="220">
        <v>55</v>
      </c>
      <c r="N155" s="213">
        <v>60</v>
      </c>
      <c r="O155" s="225">
        <v>0.05</v>
      </c>
      <c r="P155" s="213">
        <v>0</v>
      </c>
      <c r="Q155" s="213">
        <v>0</v>
      </c>
      <c r="R155" s="220">
        <v>0</v>
      </c>
      <c r="S155" s="220">
        <v>0</v>
      </c>
      <c r="T155" s="212">
        <v>0</v>
      </c>
      <c r="U155" s="224">
        <v>1</v>
      </c>
      <c r="V155" s="213">
        <v>4</v>
      </c>
      <c r="W155" s="213">
        <v>0</v>
      </c>
      <c r="X155" s="221">
        <v>0</v>
      </c>
      <c r="Y155" s="220">
        <v>75</v>
      </c>
      <c r="Z155" s="213">
        <v>75</v>
      </c>
      <c r="AA155" s="222">
        <v>0</v>
      </c>
      <c r="AB155" s="213">
        <v>0</v>
      </c>
      <c r="AC155" s="213">
        <v>0</v>
      </c>
      <c r="AD155" s="212">
        <v>0</v>
      </c>
      <c r="AE155" s="212">
        <v>0</v>
      </c>
    </row>
    <row r="156" spans="1:31">
      <c r="A156" s="211">
        <v>-2</v>
      </c>
      <c r="B156" s="212">
        <v>-4</v>
      </c>
      <c r="C156" s="213">
        <v>2</v>
      </c>
      <c r="D156" s="213">
        <v>0</v>
      </c>
      <c r="E156" s="213">
        <v>0</v>
      </c>
      <c r="F156" s="213">
        <v>0</v>
      </c>
      <c r="G156" s="223" t="s">
        <v>1478</v>
      </c>
      <c r="H156" s="224">
        <v>0</v>
      </c>
      <c r="I156" s="213">
        <v>0</v>
      </c>
      <c r="J156" s="223">
        <v>0</v>
      </c>
      <c r="K156" s="223">
        <v>0</v>
      </c>
      <c r="L156" s="221">
        <v>1</v>
      </c>
      <c r="M156" s="220">
        <v>55</v>
      </c>
      <c r="N156" s="213">
        <v>60</v>
      </c>
      <c r="O156" s="225">
        <v>0.05</v>
      </c>
      <c r="P156" s="213">
        <v>0</v>
      </c>
      <c r="Q156" s="213">
        <v>0</v>
      </c>
      <c r="R156" s="220">
        <v>0</v>
      </c>
      <c r="S156" s="220">
        <v>0</v>
      </c>
      <c r="T156" s="212">
        <v>0</v>
      </c>
      <c r="U156" s="224">
        <v>1</v>
      </c>
      <c r="V156" s="213">
        <v>1</v>
      </c>
      <c r="W156" s="213">
        <v>0</v>
      </c>
      <c r="X156" s="221">
        <v>0</v>
      </c>
      <c r="Y156" s="220">
        <v>75</v>
      </c>
      <c r="Z156" s="213">
        <v>75</v>
      </c>
      <c r="AA156" s="222">
        <v>0</v>
      </c>
      <c r="AB156" s="213">
        <v>0</v>
      </c>
      <c r="AC156" s="213">
        <v>0</v>
      </c>
      <c r="AD156" s="212">
        <v>0</v>
      </c>
      <c r="AE156" s="212">
        <v>0</v>
      </c>
    </row>
    <row r="157" spans="1:31">
      <c r="A157" s="211">
        <v>-3</v>
      </c>
      <c r="B157" s="212">
        <v>-5</v>
      </c>
      <c r="C157" s="213">
        <v>5</v>
      </c>
      <c r="D157" s="213">
        <v>2</v>
      </c>
      <c r="E157" s="213">
        <v>1</v>
      </c>
      <c r="F157" s="213">
        <v>0</v>
      </c>
      <c r="G157" s="223" t="s">
        <v>1478</v>
      </c>
      <c r="H157" s="224">
        <v>0</v>
      </c>
      <c r="I157" s="213">
        <v>0</v>
      </c>
      <c r="J157" s="223">
        <v>0</v>
      </c>
      <c r="K157" s="223">
        <v>0</v>
      </c>
      <c r="L157" s="221">
        <v>1</v>
      </c>
      <c r="M157" s="220">
        <v>55</v>
      </c>
      <c r="N157" s="213">
        <v>60</v>
      </c>
      <c r="O157" s="225">
        <v>0.05</v>
      </c>
      <c r="P157" s="213">
        <v>0</v>
      </c>
      <c r="Q157" s="213">
        <v>0</v>
      </c>
      <c r="R157" s="220">
        <v>0</v>
      </c>
      <c r="S157" s="220">
        <v>0</v>
      </c>
      <c r="T157" s="212">
        <v>0</v>
      </c>
      <c r="U157" s="224">
        <v>1</v>
      </c>
      <c r="V157" s="213">
        <v>3</v>
      </c>
      <c r="W157" s="213">
        <v>0</v>
      </c>
      <c r="X157" s="221">
        <v>0</v>
      </c>
      <c r="Y157" s="220">
        <v>75</v>
      </c>
      <c r="Z157" s="213">
        <v>75</v>
      </c>
      <c r="AA157" s="222">
        <v>0</v>
      </c>
      <c r="AB157" s="213">
        <v>0</v>
      </c>
      <c r="AC157" s="213">
        <v>0</v>
      </c>
      <c r="AD157" s="212">
        <v>0</v>
      </c>
      <c r="AE157" s="212">
        <v>0</v>
      </c>
    </row>
    <row r="158" spans="1:31">
      <c r="A158" s="211">
        <v>-4</v>
      </c>
      <c r="B158" s="212">
        <v>-6</v>
      </c>
      <c r="C158" s="213">
        <v>2</v>
      </c>
      <c r="D158" s="213">
        <v>1</v>
      </c>
      <c r="E158" s="213">
        <v>0</v>
      </c>
      <c r="F158" s="213">
        <v>0</v>
      </c>
      <c r="G158" s="223" t="s">
        <v>1478</v>
      </c>
      <c r="H158" s="224">
        <v>0</v>
      </c>
      <c r="I158" s="213">
        <v>0</v>
      </c>
      <c r="J158" s="223">
        <v>0</v>
      </c>
      <c r="K158" s="223">
        <v>0</v>
      </c>
      <c r="L158" s="221">
        <v>1</v>
      </c>
      <c r="M158" s="220">
        <v>55</v>
      </c>
      <c r="N158" s="213">
        <v>60</v>
      </c>
      <c r="O158" s="225">
        <v>0.05</v>
      </c>
      <c r="P158" s="213">
        <v>0</v>
      </c>
      <c r="Q158" s="213">
        <v>0</v>
      </c>
      <c r="R158" s="220">
        <v>0</v>
      </c>
      <c r="S158" s="220">
        <v>0</v>
      </c>
      <c r="T158" s="212">
        <v>0</v>
      </c>
      <c r="U158" s="224">
        <v>1</v>
      </c>
      <c r="V158" s="213">
        <v>1</v>
      </c>
      <c r="W158" s="213">
        <v>0</v>
      </c>
      <c r="X158" s="221">
        <v>0</v>
      </c>
      <c r="Y158" s="220">
        <v>75</v>
      </c>
      <c r="Z158" s="213">
        <v>75</v>
      </c>
      <c r="AA158" s="222">
        <v>0</v>
      </c>
      <c r="AB158" s="213">
        <v>0</v>
      </c>
      <c r="AC158" s="213">
        <v>0</v>
      </c>
      <c r="AD158" s="212">
        <v>0</v>
      </c>
      <c r="AE158" s="212">
        <v>0</v>
      </c>
    </row>
    <row r="159" spans="1:31">
      <c r="A159" s="211">
        <v>-5</v>
      </c>
      <c r="B159" s="212">
        <v>-6</v>
      </c>
      <c r="C159" s="213">
        <v>0</v>
      </c>
      <c r="D159" s="213">
        <v>1</v>
      </c>
      <c r="E159" s="213">
        <v>0</v>
      </c>
      <c r="F159" s="213">
        <v>0</v>
      </c>
      <c r="G159" s="223" t="s">
        <v>1478</v>
      </c>
      <c r="H159" s="224">
        <v>0</v>
      </c>
      <c r="I159" s="213">
        <v>0</v>
      </c>
      <c r="J159" s="223">
        <v>0</v>
      </c>
      <c r="K159" s="223">
        <v>0</v>
      </c>
      <c r="L159" s="221">
        <v>1</v>
      </c>
      <c r="M159" s="220">
        <v>55</v>
      </c>
      <c r="N159" s="213">
        <v>60</v>
      </c>
      <c r="O159" s="225">
        <v>0.05</v>
      </c>
      <c r="P159" s="213">
        <v>0</v>
      </c>
      <c r="Q159" s="213">
        <v>0</v>
      </c>
      <c r="R159" s="220">
        <v>0</v>
      </c>
      <c r="S159" s="220">
        <v>0</v>
      </c>
      <c r="T159" s="212">
        <v>0</v>
      </c>
      <c r="U159" s="224">
        <v>1</v>
      </c>
      <c r="V159" s="213">
        <v>0</v>
      </c>
      <c r="W159" s="213">
        <v>0</v>
      </c>
      <c r="X159" s="221">
        <v>0</v>
      </c>
      <c r="Y159" s="220">
        <v>75</v>
      </c>
      <c r="Z159" s="213">
        <v>75</v>
      </c>
      <c r="AA159" s="222">
        <v>0</v>
      </c>
      <c r="AB159" s="213">
        <v>0</v>
      </c>
      <c r="AC159" s="213">
        <v>0</v>
      </c>
      <c r="AD159" s="212">
        <v>0</v>
      </c>
      <c r="AE159" s="212">
        <v>0</v>
      </c>
    </row>
    <row r="160" spans="1:31">
      <c r="A160" s="211">
        <v>-6</v>
      </c>
      <c r="B160" s="212">
        <v>-6</v>
      </c>
      <c r="C160" s="213">
        <v>2</v>
      </c>
      <c r="D160" s="213">
        <v>2</v>
      </c>
      <c r="E160" s="213">
        <v>0</v>
      </c>
      <c r="F160" s="213">
        <v>0</v>
      </c>
      <c r="G160" s="223" t="s">
        <v>1478</v>
      </c>
      <c r="H160" s="224">
        <v>0</v>
      </c>
      <c r="I160" s="213">
        <v>0</v>
      </c>
      <c r="J160" s="223">
        <v>0</v>
      </c>
      <c r="K160" s="223">
        <v>0</v>
      </c>
      <c r="L160" s="221">
        <v>1</v>
      </c>
      <c r="M160" s="220">
        <v>55</v>
      </c>
      <c r="N160" s="213">
        <v>60</v>
      </c>
      <c r="O160" s="225">
        <v>0.05</v>
      </c>
      <c r="P160" s="213">
        <v>0</v>
      </c>
      <c r="Q160" s="213">
        <v>0</v>
      </c>
      <c r="R160" s="220">
        <v>0</v>
      </c>
      <c r="S160" s="220">
        <v>0</v>
      </c>
      <c r="T160" s="212">
        <v>0</v>
      </c>
      <c r="U160" s="224">
        <v>1</v>
      </c>
      <c r="V160" s="213">
        <v>1</v>
      </c>
      <c r="W160" s="213">
        <v>0</v>
      </c>
      <c r="X160" s="221">
        <v>0</v>
      </c>
      <c r="Y160" s="220">
        <v>75</v>
      </c>
      <c r="Z160" s="213">
        <v>75</v>
      </c>
      <c r="AA160" s="222">
        <v>0</v>
      </c>
      <c r="AB160" s="213">
        <v>0</v>
      </c>
      <c r="AC160" s="213">
        <v>0</v>
      </c>
      <c r="AD160" s="212">
        <v>0</v>
      </c>
      <c r="AE160" s="212">
        <v>0</v>
      </c>
    </row>
    <row r="161" spans="1:31">
      <c r="A161" s="211">
        <v>-7</v>
      </c>
      <c r="B161" s="212">
        <v>-6</v>
      </c>
      <c r="C161" s="213">
        <v>0</v>
      </c>
      <c r="D161" s="213">
        <v>0</v>
      </c>
      <c r="E161" s="213">
        <v>0</v>
      </c>
      <c r="F161" s="213">
        <v>0</v>
      </c>
      <c r="G161" s="223" t="s">
        <v>1478</v>
      </c>
      <c r="H161" s="224">
        <v>0</v>
      </c>
      <c r="I161" s="213">
        <v>0</v>
      </c>
      <c r="J161" s="223">
        <v>0</v>
      </c>
      <c r="K161" s="223">
        <v>0</v>
      </c>
      <c r="L161" s="221">
        <v>1</v>
      </c>
      <c r="M161" s="220">
        <v>55</v>
      </c>
      <c r="N161" s="213">
        <v>60</v>
      </c>
      <c r="O161" s="225">
        <v>0.05</v>
      </c>
      <c r="P161" s="213">
        <v>0</v>
      </c>
      <c r="Q161" s="213">
        <v>0</v>
      </c>
      <c r="R161" s="220">
        <v>0</v>
      </c>
      <c r="S161" s="220">
        <v>0</v>
      </c>
      <c r="T161" s="212">
        <v>0</v>
      </c>
      <c r="U161" s="224">
        <v>1</v>
      </c>
      <c r="V161" s="213">
        <v>0</v>
      </c>
      <c r="W161" s="213">
        <v>0</v>
      </c>
      <c r="X161" s="221">
        <v>0</v>
      </c>
      <c r="Y161" s="220">
        <v>75</v>
      </c>
      <c r="Z161" s="213">
        <v>75</v>
      </c>
      <c r="AA161" s="222">
        <v>0</v>
      </c>
      <c r="AB161" s="213">
        <v>0</v>
      </c>
      <c r="AC161" s="213">
        <v>0</v>
      </c>
      <c r="AD161" s="212">
        <v>0</v>
      </c>
      <c r="AE161" s="212">
        <v>0</v>
      </c>
    </row>
    <row r="162" spans="1:31">
      <c r="A162" s="211">
        <v>-8</v>
      </c>
      <c r="B162" s="212">
        <v>-6</v>
      </c>
      <c r="C162" s="213">
        <v>2</v>
      </c>
      <c r="D162" s="213">
        <v>1</v>
      </c>
      <c r="E162" s="213">
        <v>0</v>
      </c>
      <c r="F162" s="213">
        <v>0</v>
      </c>
      <c r="G162" s="223" t="s">
        <v>1478</v>
      </c>
      <c r="H162" s="224">
        <v>0</v>
      </c>
      <c r="I162" s="213">
        <v>0</v>
      </c>
      <c r="J162" s="223">
        <v>0</v>
      </c>
      <c r="K162" s="223">
        <v>0</v>
      </c>
      <c r="L162" s="221">
        <v>1</v>
      </c>
      <c r="M162" s="220">
        <v>55</v>
      </c>
      <c r="N162" s="213">
        <v>60</v>
      </c>
      <c r="O162" s="225">
        <v>0.05</v>
      </c>
      <c r="P162" s="213">
        <v>0</v>
      </c>
      <c r="Q162" s="213">
        <v>0</v>
      </c>
      <c r="R162" s="220">
        <v>0</v>
      </c>
      <c r="S162" s="220">
        <v>0</v>
      </c>
      <c r="T162" s="212">
        <v>0</v>
      </c>
      <c r="U162" s="224">
        <v>1</v>
      </c>
      <c r="V162" s="213">
        <v>1</v>
      </c>
      <c r="W162" s="213">
        <v>0</v>
      </c>
      <c r="X162" s="221">
        <v>0</v>
      </c>
      <c r="Y162" s="220">
        <v>75</v>
      </c>
      <c r="Z162" s="213">
        <v>75</v>
      </c>
      <c r="AA162" s="222">
        <v>0</v>
      </c>
      <c r="AB162" s="213">
        <v>0</v>
      </c>
      <c r="AC162" s="213">
        <v>0</v>
      </c>
      <c r="AD162" s="212">
        <v>0</v>
      </c>
      <c r="AE162" s="212">
        <v>0</v>
      </c>
    </row>
    <row r="163" spans="1:31">
      <c r="A163" s="211">
        <v>-9</v>
      </c>
      <c r="B163" s="212">
        <v>-6</v>
      </c>
      <c r="C163" s="213">
        <v>2</v>
      </c>
      <c r="D163" s="213">
        <v>1</v>
      </c>
      <c r="E163" s="213">
        <v>0</v>
      </c>
      <c r="F163" s="213">
        <v>0</v>
      </c>
      <c r="G163" s="223" t="s">
        <v>1478</v>
      </c>
      <c r="H163" s="224">
        <v>0</v>
      </c>
      <c r="I163" s="213">
        <v>0</v>
      </c>
      <c r="J163" s="223">
        <v>0</v>
      </c>
      <c r="K163" s="223">
        <v>0</v>
      </c>
      <c r="L163" s="221">
        <v>1</v>
      </c>
      <c r="M163" s="220">
        <v>55</v>
      </c>
      <c r="N163" s="213">
        <v>60</v>
      </c>
      <c r="O163" s="225">
        <v>0.05</v>
      </c>
      <c r="P163" s="213">
        <v>0</v>
      </c>
      <c r="Q163" s="213">
        <v>0</v>
      </c>
      <c r="R163" s="220">
        <v>0</v>
      </c>
      <c r="S163" s="220">
        <v>0</v>
      </c>
      <c r="T163" s="212">
        <v>0</v>
      </c>
      <c r="U163" s="224">
        <v>1</v>
      </c>
      <c r="V163" s="213">
        <v>1</v>
      </c>
      <c r="W163" s="213">
        <v>0</v>
      </c>
      <c r="X163" s="221">
        <v>0</v>
      </c>
      <c r="Y163" s="220">
        <v>75</v>
      </c>
      <c r="Z163" s="213">
        <v>75</v>
      </c>
      <c r="AA163" s="222">
        <v>0</v>
      </c>
      <c r="AB163" s="213">
        <v>0</v>
      </c>
      <c r="AC163" s="213">
        <v>0</v>
      </c>
      <c r="AD163" s="212">
        <v>0</v>
      </c>
      <c r="AE163" s="212">
        <v>0</v>
      </c>
    </row>
    <row r="164" spans="1:31">
      <c r="A164" s="211">
        <v>-10</v>
      </c>
      <c r="B164" s="212">
        <v>-6</v>
      </c>
      <c r="C164" s="213">
        <v>3</v>
      </c>
      <c r="D164" s="213">
        <v>0</v>
      </c>
      <c r="E164" s="213">
        <v>0</v>
      </c>
      <c r="F164" s="213">
        <v>0</v>
      </c>
      <c r="G164" s="223" t="s">
        <v>1478</v>
      </c>
      <c r="H164" s="224">
        <v>0</v>
      </c>
      <c r="I164" s="213">
        <v>0</v>
      </c>
      <c r="J164" s="223">
        <v>0</v>
      </c>
      <c r="K164" s="223">
        <v>0</v>
      </c>
      <c r="L164" s="221">
        <v>1</v>
      </c>
      <c r="M164" s="220">
        <v>55</v>
      </c>
      <c r="N164" s="213">
        <v>60</v>
      </c>
      <c r="O164" s="225">
        <v>0.05</v>
      </c>
      <c r="P164" s="213">
        <v>0</v>
      </c>
      <c r="Q164" s="213">
        <v>0</v>
      </c>
      <c r="R164" s="220">
        <v>0</v>
      </c>
      <c r="S164" s="220">
        <v>0</v>
      </c>
      <c r="T164" s="212">
        <v>0</v>
      </c>
      <c r="U164" s="224">
        <v>1</v>
      </c>
      <c r="V164" s="213">
        <v>2</v>
      </c>
      <c r="W164" s="213">
        <v>0</v>
      </c>
      <c r="X164" s="221">
        <v>0</v>
      </c>
      <c r="Y164" s="220">
        <v>75</v>
      </c>
      <c r="Z164" s="213">
        <v>75</v>
      </c>
      <c r="AA164" s="222">
        <v>0</v>
      </c>
      <c r="AB164" s="213">
        <v>0</v>
      </c>
      <c r="AC164" s="213">
        <v>0</v>
      </c>
      <c r="AD164" s="212">
        <v>0</v>
      </c>
      <c r="AE164" s="212">
        <v>0</v>
      </c>
    </row>
    <row r="165" spans="1:31">
      <c r="A165" s="211">
        <v>-11</v>
      </c>
      <c r="B165" s="212">
        <v>-6</v>
      </c>
      <c r="C165" s="213">
        <v>2</v>
      </c>
      <c r="D165" s="213">
        <v>0</v>
      </c>
      <c r="E165" s="213">
        <v>0</v>
      </c>
      <c r="F165" s="213">
        <v>0</v>
      </c>
      <c r="G165" s="223" t="s">
        <v>1478</v>
      </c>
      <c r="H165" s="224">
        <v>0</v>
      </c>
      <c r="I165" s="213">
        <v>0</v>
      </c>
      <c r="J165" s="223">
        <v>0</v>
      </c>
      <c r="K165" s="223">
        <v>0</v>
      </c>
      <c r="L165" s="221">
        <v>1</v>
      </c>
      <c r="M165" s="220">
        <v>55</v>
      </c>
      <c r="N165" s="213">
        <v>60</v>
      </c>
      <c r="O165" s="225">
        <v>0.05</v>
      </c>
      <c r="P165" s="213">
        <v>0</v>
      </c>
      <c r="Q165" s="213">
        <v>0</v>
      </c>
      <c r="R165" s="220">
        <v>0</v>
      </c>
      <c r="S165" s="220">
        <v>0</v>
      </c>
      <c r="T165" s="212">
        <v>0</v>
      </c>
      <c r="U165" s="224">
        <v>1</v>
      </c>
      <c r="V165" s="213">
        <v>1</v>
      </c>
      <c r="W165" s="213">
        <v>0</v>
      </c>
      <c r="X165" s="221">
        <v>0</v>
      </c>
      <c r="Y165" s="220">
        <v>75</v>
      </c>
      <c r="Z165" s="213">
        <v>75</v>
      </c>
      <c r="AA165" s="222">
        <v>0</v>
      </c>
      <c r="AB165" s="213">
        <v>0</v>
      </c>
      <c r="AC165" s="213">
        <v>0</v>
      </c>
      <c r="AD165" s="212">
        <v>0</v>
      </c>
      <c r="AE165" s="212">
        <v>0</v>
      </c>
    </row>
    <row r="166" spans="1:31">
      <c r="A166" s="211">
        <v>-12</v>
      </c>
      <c r="B166" s="212">
        <v>-6</v>
      </c>
      <c r="C166" s="213">
        <v>1</v>
      </c>
      <c r="D166" s="213">
        <v>0</v>
      </c>
      <c r="E166" s="213">
        <v>0</v>
      </c>
      <c r="F166" s="213">
        <v>0</v>
      </c>
      <c r="G166" s="223" t="s">
        <v>1478</v>
      </c>
      <c r="H166" s="224">
        <v>0</v>
      </c>
      <c r="I166" s="213">
        <v>0</v>
      </c>
      <c r="J166" s="223">
        <v>0</v>
      </c>
      <c r="K166" s="223">
        <v>0</v>
      </c>
      <c r="L166" s="221">
        <v>1</v>
      </c>
      <c r="M166" s="220">
        <v>55</v>
      </c>
      <c r="N166" s="213">
        <v>60</v>
      </c>
      <c r="O166" s="225">
        <v>0.05</v>
      </c>
      <c r="P166" s="213">
        <v>0</v>
      </c>
      <c r="Q166" s="213">
        <v>0</v>
      </c>
      <c r="R166" s="220">
        <v>0</v>
      </c>
      <c r="S166" s="220">
        <v>0</v>
      </c>
      <c r="T166" s="212">
        <v>0</v>
      </c>
      <c r="U166" s="224">
        <v>1</v>
      </c>
      <c r="V166" s="213">
        <v>1</v>
      </c>
      <c r="W166" s="213">
        <v>0</v>
      </c>
      <c r="X166" s="221">
        <v>0</v>
      </c>
      <c r="Y166" s="220">
        <v>75</v>
      </c>
      <c r="Z166" s="213">
        <v>75</v>
      </c>
      <c r="AA166" s="222">
        <v>0</v>
      </c>
      <c r="AB166" s="213">
        <v>0</v>
      </c>
      <c r="AC166" s="213">
        <v>0</v>
      </c>
      <c r="AD166" s="212">
        <v>0</v>
      </c>
      <c r="AE166" s="212">
        <v>0</v>
      </c>
    </row>
    <row r="167" spans="1:31">
      <c r="A167" s="211">
        <v>-13</v>
      </c>
      <c r="B167" s="212">
        <v>-6</v>
      </c>
      <c r="C167" s="213">
        <v>0</v>
      </c>
      <c r="D167" s="213">
        <v>0</v>
      </c>
      <c r="E167" s="213">
        <v>0</v>
      </c>
      <c r="F167" s="213">
        <v>0</v>
      </c>
      <c r="G167" s="223" t="s">
        <v>1478</v>
      </c>
      <c r="H167" s="224">
        <v>0</v>
      </c>
      <c r="I167" s="213">
        <v>0</v>
      </c>
      <c r="J167" s="223">
        <v>0</v>
      </c>
      <c r="K167" s="223">
        <v>0</v>
      </c>
      <c r="L167" s="221">
        <v>1</v>
      </c>
      <c r="M167" s="220">
        <v>55</v>
      </c>
      <c r="N167" s="213">
        <v>60</v>
      </c>
      <c r="O167" s="225">
        <v>0.05</v>
      </c>
      <c r="P167" s="213">
        <v>0</v>
      </c>
      <c r="Q167" s="213">
        <v>0</v>
      </c>
      <c r="R167" s="220">
        <v>0</v>
      </c>
      <c r="S167" s="220">
        <v>0</v>
      </c>
      <c r="T167" s="212">
        <v>0</v>
      </c>
      <c r="U167" s="224">
        <v>1</v>
      </c>
      <c r="V167" s="213">
        <v>0</v>
      </c>
      <c r="W167" s="213">
        <v>0</v>
      </c>
      <c r="X167" s="221">
        <v>0</v>
      </c>
      <c r="Y167" s="220">
        <v>75</v>
      </c>
      <c r="Z167" s="213">
        <v>75</v>
      </c>
      <c r="AA167" s="222">
        <v>0</v>
      </c>
      <c r="AB167" s="213">
        <v>0</v>
      </c>
      <c r="AC167" s="213">
        <v>0</v>
      </c>
      <c r="AD167" s="212">
        <v>0</v>
      </c>
      <c r="AE167" s="212">
        <v>0</v>
      </c>
    </row>
    <row r="168" spans="1:31">
      <c r="A168" s="211">
        <v>-14</v>
      </c>
      <c r="B168" s="212">
        <v>-6</v>
      </c>
      <c r="C168" s="213">
        <v>0</v>
      </c>
      <c r="D168" s="213">
        <v>0</v>
      </c>
      <c r="E168" s="213">
        <v>0</v>
      </c>
      <c r="F168" s="213">
        <v>0</v>
      </c>
      <c r="G168" s="223" t="s">
        <v>1478</v>
      </c>
      <c r="H168" s="224">
        <v>0</v>
      </c>
      <c r="I168" s="213">
        <v>0</v>
      </c>
      <c r="J168" s="223">
        <v>0</v>
      </c>
      <c r="K168" s="223">
        <v>0</v>
      </c>
      <c r="L168" s="221">
        <v>1</v>
      </c>
      <c r="M168" s="220">
        <v>55</v>
      </c>
      <c r="N168" s="213">
        <v>60</v>
      </c>
      <c r="O168" s="225">
        <v>0.05</v>
      </c>
      <c r="P168" s="213">
        <v>0</v>
      </c>
      <c r="Q168" s="213">
        <v>0</v>
      </c>
      <c r="R168" s="220">
        <v>0</v>
      </c>
      <c r="S168" s="220">
        <v>0</v>
      </c>
      <c r="T168" s="212">
        <v>0</v>
      </c>
      <c r="U168" s="224">
        <v>1</v>
      </c>
      <c r="V168" s="213">
        <v>0</v>
      </c>
      <c r="W168" s="213">
        <v>0</v>
      </c>
      <c r="X168" s="221">
        <v>0</v>
      </c>
      <c r="Y168" s="220">
        <v>75</v>
      </c>
      <c r="Z168" s="213">
        <v>75</v>
      </c>
      <c r="AA168" s="222">
        <v>0</v>
      </c>
      <c r="AB168" s="213">
        <v>0</v>
      </c>
      <c r="AC168" s="213">
        <v>0</v>
      </c>
      <c r="AD168" s="212">
        <v>0</v>
      </c>
      <c r="AE168" s="212">
        <v>0</v>
      </c>
    </row>
    <row r="169" spans="1:31">
      <c r="A169" s="211">
        <v>-15</v>
      </c>
      <c r="B169" s="212">
        <v>-6</v>
      </c>
      <c r="C169" s="213">
        <v>0</v>
      </c>
      <c r="D169" s="213">
        <v>0</v>
      </c>
      <c r="E169" s="213">
        <v>0</v>
      </c>
      <c r="F169" s="213">
        <v>0</v>
      </c>
      <c r="G169" s="223" t="s">
        <v>1478</v>
      </c>
      <c r="H169" s="224">
        <v>0</v>
      </c>
      <c r="I169" s="213">
        <v>0</v>
      </c>
      <c r="J169" s="223">
        <v>0</v>
      </c>
      <c r="K169" s="223">
        <v>0</v>
      </c>
      <c r="L169" s="221">
        <v>1</v>
      </c>
      <c r="M169" s="220">
        <v>55</v>
      </c>
      <c r="N169" s="213">
        <v>60</v>
      </c>
      <c r="O169" s="225">
        <v>0.05</v>
      </c>
      <c r="P169" s="213">
        <v>0</v>
      </c>
      <c r="Q169" s="213">
        <v>0</v>
      </c>
      <c r="R169" s="220">
        <v>0</v>
      </c>
      <c r="S169" s="220">
        <v>0</v>
      </c>
      <c r="T169" s="212">
        <v>0</v>
      </c>
      <c r="U169" s="224">
        <v>1</v>
      </c>
      <c r="V169" s="213">
        <v>0</v>
      </c>
      <c r="W169" s="213">
        <v>0</v>
      </c>
      <c r="X169" s="221">
        <v>0</v>
      </c>
      <c r="Y169" s="220">
        <v>75</v>
      </c>
      <c r="Z169" s="213">
        <v>75</v>
      </c>
      <c r="AA169" s="222">
        <v>0</v>
      </c>
      <c r="AB169" s="213">
        <v>0</v>
      </c>
      <c r="AC169" s="213">
        <v>0</v>
      </c>
      <c r="AD169" s="212">
        <v>0</v>
      </c>
      <c r="AE169" s="212">
        <v>0</v>
      </c>
    </row>
    <row r="170" spans="1:31">
      <c r="A170" s="211">
        <v>-16</v>
      </c>
      <c r="B170" s="212">
        <v>-6</v>
      </c>
      <c r="C170" s="213">
        <v>0</v>
      </c>
      <c r="D170" s="213">
        <v>0</v>
      </c>
      <c r="E170" s="213">
        <v>0</v>
      </c>
      <c r="F170" s="213">
        <v>0</v>
      </c>
      <c r="G170" s="223" t="s">
        <v>1478</v>
      </c>
      <c r="H170" s="224">
        <v>0</v>
      </c>
      <c r="I170" s="213">
        <v>0</v>
      </c>
      <c r="J170" s="223">
        <v>0</v>
      </c>
      <c r="K170" s="223">
        <v>0</v>
      </c>
      <c r="L170" s="221">
        <v>1</v>
      </c>
      <c r="M170" s="220">
        <v>55</v>
      </c>
      <c r="N170" s="213">
        <v>60</v>
      </c>
      <c r="O170" s="225">
        <v>0.05</v>
      </c>
      <c r="P170" s="213">
        <v>0</v>
      </c>
      <c r="Q170" s="213">
        <v>0</v>
      </c>
      <c r="R170" s="220">
        <v>0</v>
      </c>
      <c r="S170" s="220">
        <v>0</v>
      </c>
      <c r="T170" s="212">
        <v>0</v>
      </c>
      <c r="U170" s="224">
        <v>1</v>
      </c>
      <c r="V170" s="213">
        <v>0</v>
      </c>
      <c r="W170" s="213">
        <v>0</v>
      </c>
      <c r="X170" s="221">
        <v>0</v>
      </c>
      <c r="Y170" s="220">
        <v>75</v>
      </c>
      <c r="Z170" s="213">
        <v>75</v>
      </c>
      <c r="AA170" s="222">
        <v>0</v>
      </c>
      <c r="AB170" s="213">
        <v>0</v>
      </c>
      <c r="AC170" s="213">
        <v>0</v>
      </c>
      <c r="AD170" s="212">
        <v>0</v>
      </c>
      <c r="AE170" s="212">
        <v>0</v>
      </c>
    </row>
    <row r="171" spans="1:31">
      <c r="A171" s="211">
        <v>-17</v>
      </c>
      <c r="B171" s="212">
        <v>-6</v>
      </c>
      <c r="C171" s="213">
        <v>0</v>
      </c>
      <c r="D171" s="213">
        <v>0</v>
      </c>
      <c r="E171" s="213">
        <v>0</v>
      </c>
      <c r="F171" s="213">
        <v>0</v>
      </c>
      <c r="G171" s="223" t="s">
        <v>1478</v>
      </c>
      <c r="H171" s="224">
        <v>0</v>
      </c>
      <c r="I171" s="213">
        <v>0</v>
      </c>
      <c r="J171" s="223">
        <v>0</v>
      </c>
      <c r="K171" s="223">
        <v>0</v>
      </c>
      <c r="L171" s="221">
        <v>1</v>
      </c>
      <c r="M171" s="220">
        <v>55</v>
      </c>
      <c r="N171" s="213">
        <v>60</v>
      </c>
      <c r="O171" s="225">
        <v>0.05</v>
      </c>
      <c r="P171" s="213">
        <v>0</v>
      </c>
      <c r="Q171" s="213">
        <v>0</v>
      </c>
      <c r="R171" s="220">
        <v>0</v>
      </c>
      <c r="S171" s="220">
        <v>0</v>
      </c>
      <c r="T171" s="212">
        <v>0</v>
      </c>
      <c r="U171" s="224">
        <v>1</v>
      </c>
      <c r="V171" s="213">
        <v>0</v>
      </c>
      <c r="W171" s="213">
        <v>0</v>
      </c>
      <c r="X171" s="221">
        <v>0</v>
      </c>
      <c r="Y171" s="220">
        <v>75</v>
      </c>
      <c r="Z171" s="213">
        <v>75</v>
      </c>
      <c r="AA171" s="222">
        <v>0</v>
      </c>
      <c r="AB171" s="213">
        <v>0</v>
      </c>
      <c r="AC171" s="213">
        <v>0</v>
      </c>
      <c r="AD171" s="212">
        <v>0</v>
      </c>
      <c r="AE171" s="212">
        <v>0</v>
      </c>
    </row>
    <row r="172" spans="1:31">
      <c r="A172" s="211">
        <v>-18</v>
      </c>
      <c r="B172" s="212">
        <v>-6</v>
      </c>
      <c r="C172" s="213">
        <v>0</v>
      </c>
      <c r="D172" s="213">
        <v>0</v>
      </c>
      <c r="E172" s="213">
        <v>0</v>
      </c>
      <c r="F172" s="213">
        <v>0</v>
      </c>
      <c r="G172" s="223" t="s">
        <v>1478</v>
      </c>
      <c r="H172" s="224">
        <v>0</v>
      </c>
      <c r="I172" s="213">
        <v>0</v>
      </c>
      <c r="J172" s="223">
        <v>0</v>
      </c>
      <c r="K172" s="223">
        <v>0</v>
      </c>
      <c r="L172" s="221">
        <v>1</v>
      </c>
      <c r="M172" s="220">
        <v>55</v>
      </c>
      <c r="N172" s="213">
        <v>60</v>
      </c>
      <c r="O172" s="225">
        <v>0.05</v>
      </c>
      <c r="P172" s="213">
        <v>0</v>
      </c>
      <c r="Q172" s="213">
        <v>0</v>
      </c>
      <c r="R172" s="220">
        <v>0</v>
      </c>
      <c r="S172" s="220">
        <v>0</v>
      </c>
      <c r="T172" s="212">
        <v>0</v>
      </c>
      <c r="U172" s="224">
        <v>1</v>
      </c>
      <c r="V172" s="213">
        <v>0</v>
      </c>
      <c r="W172" s="213">
        <v>0</v>
      </c>
      <c r="X172" s="221">
        <v>0</v>
      </c>
      <c r="Y172" s="220">
        <v>75</v>
      </c>
      <c r="Z172" s="213">
        <v>75</v>
      </c>
      <c r="AA172" s="222">
        <v>0</v>
      </c>
      <c r="AB172" s="213">
        <v>0</v>
      </c>
      <c r="AC172" s="213">
        <v>0</v>
      </c>
      <c r="AD172" s="212">
        <v>0</v>
      </c>
      <c r="AE172" s="212">
        <v>0</v>
      </c>
    </row>
    <row r="173" spans="1:31">
      <c r="A173" s="211">
        <v>-19</v>
      </c>
      <c r="B173" s="212">
        <v>-6</v>
      </c>
      <c r="C173" s="213">
        <v>0</v>
      </c>
      <c r="D173" s="213">
        <v>0</v>
      </c>
      <c r="E173" s="213">
        <v>0</v>
      </c>
      <c r="F173" s="213">
        <v>0</v>
      </c>
      <c r="G173" s="223" t="s">
        <v>1478</v>
      </c>
      <c r="H173" s="224">
        <v>0</v>
      </c>
      <c r="I173" s="213">
        <v>0</v>
      </c>
      <c r="J173" s="223">
        <v>0</v>
      </c>
      <c r="K173" s="223">
        <v>0</v>
      </c>
      <c r="L173" s="221">
        <v>1</v>
      </c>
      <c r="M173" s="220">
        <v>55</v>
      </c>
      <c r="N173" s="213">
        <v>60</v>
      </c>
      <c r="O173" s="225">
        <v>0.05</v>
      </c>
      <c r="P173" s="213">
        <v>0</v>
      </c>
      <c r="Q173" s="213">
        <v>0</v>
      </c>
      <c r="R173" s="220">
        <v>0</v>
      </c>
      <c r="S173" s="220">
        <v>0</v>
      </c>
      <c r="T173" s="212">
        <v>0</v>
      </c>
      <c r="U173" s="224">
        <v>1</v>
      </c>
      <c r="V173" s="213">
        <v>0</v>
      </c>
      <c r="W173" s="213">
        <v>0</v>
      </c>
      <c r="X173" s="221">
        <v>0</v>
      </c>
      <c r="Y173" s="220">
        <v>75</v>
      </c>
      <c r="Z173" s="213">
        <v>75</v>
      </c>
      <c r="AA173" s="222">
        <v>0</v>
      </c>
      <c r="AB173" s="213">
        <v>0</v>
      </c>
      <c r="AC173" s="213">
        <v>0</v>
      </c>
      <c r="AD173" s="212">
        <v>0</v>
      </c>
      <c r="AE173" s="212">
        <v>0</v>
      </c>
    </row>
    <row r="174" spans="1:31">
      <c r="A174" s="211">
        <v>-20</v>
      </c>
      <c r="B174" s="212">
        <v>-6</v>
      </c>
      <c r="C174" s="213">
        <v>0</v>
      </c>
      <c r="D174" s="213">
        <v>0</v>
      </c>
      <c r="E174" s="213">
        <v>0</v>
      </c>
      <c r="F174" s="213">
        <v>0</v>
      </c>
      <c r="G174" s="223" t="s">
        <v>1478</v>
      </c>
      <c r="H174" s="224">
        <v>0</v>
      </c>
      <c r="I174" s="213">
        <v>0</v>
      </c>
      <c r="J174" s="223">
        <v>0</v>
      </c>
      <c r="K174" s="223">
        <v>0</v>
      </c>
      <c r="L174" s="221">
        <v>1</v>
      </c>
      <c r="M174" s="220">
        <v>55</v>
      </c>
      <c r="N174" s="213">
        <v>60</v>
      </c>
      <c r="O174" s="225">
        <v>0.05</v>
      </c>
      <c r="P174" s="213">
        <v>0</v>
      </c>
      <c r="Q174" s="213">
        <v>0</v>
      </c>
      <c r="R174" s="220">
        <v>0</v>
      </c>
      <c r="S174" s="220">
        <v>0</v>
      </c>
      <c r="T174" s="212">
        <v>0</v>
      </c>
      <c r="U174" s="224">
        <v>1</v>
      </c>
      <c r="V174" s="213">
        <v>0</v>
      </c>
      <c r="W174" s="213">
        <v>0</v>
      </c>
      <c r="X174" s="221">
        <v>0</v>
      </c>
      <c r="Y174" s="220">
        <v>75</v>
      </c>
      <c r="Z174" s="213">
        <v>75</v>
      </c>
      <c r="AA174" s="222">
        <v>0</v>
      </c>
      <c r="AB174" s="213">
        <v>0</v>
      </c>
      <c r="AC174" s="213">
        <v>0</v>
      </c>
      <c r="AD174" s="212">
        <v>0</v>
      </c>
      <c r="AE174" s="212">
        <v>0</v>
      </c>
    </row>
    <row r="175" spans="1:31">
      <c r="A175" s="211">
        <v>-21</v>
      </c>
      <c r="B175" s="212">
        <v>-6</v>
      </c>
      <c r="C175" s="213">
        <v>0</v>
      </c>
      <c r="D175" s="213">
        <v>0</v>
      </c>
      <c r="E175" s="213">
        <v>0</v>
      </c>
      <c r="F175" s="213">
        <v>0</v>
      </c>
      <c r="G175" s="223" t="s">
        <v>1478</v>
      </c>
      <c r="H175" s="224">
        <v>0</v>
      </c>
      <c r="I175" s="213">
        <v>0</v>
      </c>
      <c r="J175" s="223">
        <v>0</v>
      </c>
      <c r="K175" s="223">
        <v>0</v>
      </c>
      <c r="L175" s="221">
        <v>1</v>
      </c>
      <c r="M175" s="220">
        <v>55</v>
      </c>
      <c r="N175" s="213">
        <v>60</v>
      </c>
      <c r="O175" s="225">
        <v>0.05</v>
      </c>
      <c r="P175" s="213">
        <v>0</v>
      </c>
      <c r="Q175" s="213">
        <v>0</v>
      </c>
      <c r="R175" s="220">
        <v>0</v>
      </c>
      <c r="S175" s="220">
        <v>0</v>
      </c>
      <c r="T175" s="212">
        <v>0</v>
      </c>
      <c r="U175" s="224">
        <v>1</v>
      </c>
      <c r="V175" s="213">
        <v>0</v>
      </c>
      <c r="W175" s="213">
        <v>0</v>
      </c>
      <c r="X175" s="221">
        <v>0</v>
      </c>
      <c r="Y175" s="220">
        <v>75</v>
      </c>
      <c r="Z175" s="213">
        <v>75</v>
      </c>
      <c r="AA175" s="222">
        <v>0</v>
      </c>
      <c r="AB175" s="213">
        <v>0</v>
      </c>
      <c r="AC175" s="213">
        <v>0</v>
      </c>
      <c r="AD175" s="212">
        <v>0</v>
      </c>
      <c r="AE175" s="212">
        <v>0</v>
      </c>
    </row>
    <row r="176" spans="1:31">
      <c r="A176" s="226">
        <v>-22</v>
      </c>
      <c r="B176" s="220">
        <v>-6</v>
      </c>
      <c r="C176" s="213">
        <v>0</v>
      </c>
      <c r="D176" s="213">
        <v>0</v>
      </c>
      <c r="E176" s="213">
        <v>0</v>
      </c>
      <c r="F176" s="213">
        <v>0</v>
      </c>
      <c r="G176" s="223" t="s">
        <v>1478</v>
      </c>
      <c r="H176" s="224">
        <v>0</v>
      </c>
      <c r="I176" s="213">
        <v>0</v>
      </c>
      <c r="J176" s="223">
        <v>0</v>
      </c>
      <c r="K176" s="223">
        <v>0</v>
      </c>
      <c r="L176" s="221">
        <v>1</v>
      </c>
      <c r="M176" s="220">
        <v>55</v>
      </c>
      <c r="N176" s="213">
        <v>60</v>
      </c>
      <c r="O176" s="225">
        <v>0.05</v>
      </c>
      <c r="P176" s="213">
        <v>0</v>
      </c>
      <c r="Q176" s="213">
        <v>0</v>
      </c>
      <c r="R176" s="220">
        <v>0</v>
      </c>
      <c r="S176" s="220">
        <v>0</v>
      </c>
      <c r="T176" s="212">
        <v>0</v>
      </c>
      <c r="U176" s="224">
        <v>1</v>
      </c>
      <c r="V176" s="213">
        <v>0</v>
      </c>
      <c r="W176" s="213">
        <v>0</v>
      </c>
      <c r="X176" s="221">
        <v>0</v>
      </c>
      <c r="Y176" s="220">
        <v>75</v>
      </c>
      <c r="Z176" s="213">
        <v>75</v>
      </c>
      <c r="AA176" s="222">
        <v>0</v>
      </c>
      <c r="AB176" s="213">
        <v>0</v>
      </c>
      <c r="AC176" s="213">
        <v>0</v>
      </c>
      <c r="AD176" s="212">
        <v>0</v>
      </c>
      <c r="AE176" s="212">
        <v>0</v>
      </c>
    </row>
    <row r="177" spans="1:31">
      <c r="A177" s="227" t="s">
        <v>364</v>
      </c>
      <c r="B177" s="228" t="s">
        <v>150</v>
      </c>
      <c r="C177" s="228">
        <v>8760</v>
      </c>
      <c r="D177" s="228">
        <v>3984</v>
      </c>
      <c r="E177" s="228">
        <v>124</v>
      </c>
      <c r="F177" s="228">
        <v>368</v>
      </c>
      <c r="G177" s="228" t="s">
        <v>150</v>
      </c>
      <c r="H177" s="228" t="s">
        <v>150</v>
      </c>
      <c r="I177" s="228" t="s">
        <v>150</v>
      </c>
      <c r="J177" s="228" t="s">
        <v>150</v>
      </c>
      <c r="K177" s="228" t="s">
        <v>150</v>
      </c>
      <c r="L177" s="228" t="s">
        <v>150</v>
      </c>
      <c r="M177" s="228" t="s">
        <v>150</v>
      </c>
      <c r="N177" s="228" t="s">
        <v>150</v>
      </c>
      <c r="O177" s="228" t="s">
        <v>150</v>
      </c>
      <c r="P177" s="228" t="s">
        <v>150</v>
      </c>
      <c r="Q177" s="228" t="s">
        <v>150</v>
      </c>
      <c r="R177" s="228" t="s">
        <v>150</v>
      </c>
      <c r="S177" s="228">
        <v>0.17893000000000001</v>
      </c>
      <c r="T177" s="228">
        <v>0.11609</v>
      </c>
      <c r="U177" s="228" t="s">
        <v>150</v>
      </c>
      <c r="V177" s="228" t="s">
        <v>150</v>
      </c>
      <c r="W177" s="228" t="s">
        <v>150</v>
      </c>
      <c r="X177" s="228" t="s">
        <v>150</v>
      </c>
      <c r="Y177" s="228" t="s">
        <v>150</v>
      </c>
      <c r="Z177" s="228" t="s">
        <v>150</v>
      </c>
      <c r="AA177" s="228" t="s">
        <v>150</v>
      </c>
      <c r="AB177" s="228" t="s">
        <v>150</v>
      </c>
      <c r="AC177" s="228" t="s">
        <v>150</v>
      </c>
      <c r="AD177" s="229">
        <v>2.9599999999999998E-4</v>
      </c>
      <c r="AE177" s="229">
        <v>2.63E-4</v>
      </c>
    </row>
  </sheetData>
  <sheetProtection algorithmName="SHA-512" hashValue="JlrCEDljO8azYeEFPHNBi7GXBsuoaL3Mk3Q2FUU3kkUgqrigRdSiEDimAAg82W2QFkqGBciheS2sxxYhJCqcYg==" saltValue="vm9HVYll4K3urHyBDAO7hw==" spinCount="100000" sheet="1" objects="1" scenarios="1"/>
  <mergeCells count="6">
    <mergeCell ref="C1:M1"/>
    <mergeCell ref="C2:M2"/>
    <mergeCell ref="H52:S52"/>
    <mergeCell ref="U52:AE52"/>
    <mergeCell ref="C3:M3"/>
    <mergeCell ref="C4:M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CBF0E-C7ED-4077-BDCE-1CFFD69061A7}">
  <sheetPr codeName="Sheet10">
    <tabColor theme="9" tint="-0.249977111117893"/>
  </sheetPr>
  <dimension ref="A1:M24"/>
  <sheetViews>
    <sheetView workbookViewId="0">
      <selection activeCell="C4" sqref="A4:M4"/>
    </sheetView>
  </sheetViews>
  <sheetFormatPr defaultRowHeight="14.45"/>
  <cols>
    <col min="1" max="1" width="17.5703125" customWidth="1"/>
    <col min="2" max="2" width="21.5703125" customWidth="1"/>
    <col min="5" max="5" width="26" customWidth="1"/>
  </cols>
  <sheetData>
    <row r="1" spans="1:13">
      <c r="A1" s="3" t="s">
        <v>791</v>
      </c>
      <c r="B1" s="3" t="s">
        <v>854</v>
      </c>
      <c r="C1" s="1851" t="s">
        <v>1265</v>
      </c>
      <c r="D1" s="1851"/>
      <c r="E1" s="1851"/>
      <c r="F1" s="1851"/>
      <c r="G1" s="1851"/>
      <c r="H1" s="1851"/>
      <c r="I1" s="1851"/>
      <c r="J1" s="1851"/>
      <c r="K1" s="1851"/>
      <c r="L1" s="1851"/>
      <c r="M1" s="1851"/>
    </row>
    <row r="2" spans="1:13">
      <c r="A2" s="21" t="s">
        <v>1266</v>
      </c>
      <c r="B2" s="113" t="s">
        <v>421</v>
      </c>
      <c r="C2" s="1850"/>
      <c r="D2" s="1850"/>
      <c r="E2" s="1850"/>
      <c r="F2" s="1850"/>
      <c r="G2" s="1850"/>
      <c r="H2" s="1850"/>
      <c r="I2" s="1850"/>
      <c r="J2" s="1850"/>
      <c r="K2" s="1850"/>
      <c r="L2" s="1850"/>
      <c r="M2" s="1868"/>
    </row>
    <row r="3" spans="1:13">
      <c r="A3" s="21" t="s">
        <v>1268</v>
      </c>
      <c r="B3" s="113" t="s">
        <v>421</v>
      </c>
      <c r="C3" s="1850"/>
      <c r="D3" s="1850"/>
      <c r="E3" s="1850"/>
      <c r="F3" s="1850"/>
      <c r="G3" s="1850"/>
      <c r="H3" s="1850"/>
      <c r="I3" s="1850"/>
      <c r="J3" s="1850"/>
      <c r="K3" s="1850"/>
      <c r="L3" s="1850"/>
      <c r="M3" s="1868"/>
    </row>
    <row r="4" spans="1:13" ht="151.5" customHeight="1">
      <c r="A4" s="21" t="s">
        <v>1273</v>
      </c>
      <c r="B4" s="113" t="s">
        <v>489</v>
      </c>
      <c r="C4" s="1850" t="s">
        <v>1479</v>
      </c>
      <c r="D4" s="1850"/>
      <c r="E4" s="1850"/>
      <c r="F4" s="1850"/>
      <c r="G4" s="1850"/>
      <c r="H4" s="1850"/>
      <c r="I4" s="1850"/>
      <c r="J4" s="1850"/>
      <c r="K4" s="1850"/>
      <c r="L4" s="1850"/>
      <c r="M4" s="1868"/>
    </row>
    <row r="6" spans="1:13">
      <c r="A6" s="3" t="s">
        <v>1408</v>
      </c>
    </row>
    <row r="7" spans="1:13">
      <c r="A7" t="s">
        <v>1480</v>
      </c>
      <c r="B7" s="10" t="s">
        <v>1278</v>
      </c>
      <c r="C7" t="s">
        <v>1481</v>
      </c>
    </row>
    <row r="8" spans="1:13">
      <c r="A8" t="s">
        <v>1482</v>
      </c>
      <c r="B8" s="10" t="s">
        <v>1278</v>
      </c>
      <c r="C8" t="s">
        <v>1483</v>
      </c>
    </row>
    <row r="10" spans="1:13" ht="15" thickBot="1">
      <c r="A10" t="s">
        <v>1288</v>
      </c>
    </row>
    <row r="11" spans="1:13">
      <c r="A11" s="54" t="s">
        <v>1484</v>
      </c>
      <c r="B11" s="55" t="s">
        <v>1291</v>
      </c>
      <c r="C11" s="55" t="s">
        <v>362</v>
      </c>
      <c r="D11" s="55" t="s">
        <v>261</v>
      </c>
      <c r="E11" s="56" t="s">
        <v>1292</v>
      </c>
    </row>
    <row r="12" spans="1:13">
      <c r="A12" s="57"/>
      <c r="B12" s="16" t="s">
        <v>1293</v>
      </c>
      <c r="C12" s="5">
        <v>0.746</v>
      </c>
      <c r="D12" s="5" t="s">
        <v>1294</v>
      </c>
      <c r="E12" s="25"/>
    </row>
    <row r="13" spans="1:13">
      <c r="A13" s="58"/>
      <c r="B13" s="26" t="s">
        <v>1485</v>
      </c>
      <c r="C13" s="41">
        <f>Assumptions!D17</f>
        <v>0.65</v>
      </c>
      <c r="D13" s="18"/>
      <c r="E13" s="59"/>
    </row>
    <row r="14" spans="1:13" ht="29.1">
      <c r="A14" s="58"/>
      <c r="B14" s="26" t="s">
        <v>1303</v>
      </c>
      <c r="C14" s="41">
        <f>Assumptions!$D$20</f>
        <v>0.9</v>
      </c>
      <c r="D14" s="18"/>
      <c r="E14" s="59"/>
    </row>
    <row r="15" spans="1:13" ht="29.1">
      <c r="A15" s="58"/>
      <c r="B15" s="26" t="s">
        <v>1304</v>
      </c>
      <c r="C15" s="41">
        <f>Assumptions!$D$21</f>
        <v>0.93</v>
      </c>
      <c r="D15" s="18"/>
      <c r="E15" s="59"/>
    </row>
    <row r="16" spans="1:13">
      <c r="A16" s="58"/>
      <c r="B16" s="26" t="s">
        <v>1145</v>
      </c>
      <c r="C16" s="41">
        <f>Assumptions!D82</f>
        <v>0.246</v>
      </c>
      <c r="D16" s="18"/>
      <c r="E16" s="74" t="s">
        <v>1147</v>
      </c>
    </row>
    <row r="17" spans="1:5" ht="29.1">
      <c r="A17" s="58"/>
      <c r="B17" s="39" t="s">
        <v>1486</v>
      </c>
      <c r="C17" s="161">
        <f>Schedule!C23</f>
        <v>4642.2423076923078</v>
      </c>
      <c r="D17" s="5" t="s">
        <v>1149</v>
      </c>
      <c r="E17" s="25" t="s">
        <v>1150</v>
      </c>
    </row>
    <row r="18" spans="1:5">
      <c r="A18" s="58"/>
      <c r="B18" s="39" t="s">
        <v>1151</v>
      </c>
      <c r="C18" s="77">
        <f>Assumptions!D84</f>
        <v>0.7</v>
      </c>
      <c r="D18" s="5"/>
      <c r="E18" s="25" t="s">
        <v>1152</v>
      </c>
    </row>
    <row r="19" spans="1:5">
      <c r="A19" s="57" t="s">
        <v>881</v>
      </c>
      <c r="B19" s="23" t="s">
        <v>1301</v>
      </c>
      <c r="C19" s="42">
        <f>Assumptions!D8</f>
        <v>0.63</v>
      </c>
      <c r="D19" s="5" t="s">
        <v>1299</v>
      </c>
      <c r="E19" s="25"/>
    </row>
    <row r="20" spans="1:5" ht="15" thickBot="1">
      <c r="A20" s="63"/>
      <c r="B20" s="75" t="s">
        <v>1302</v>
      </c>
      <c r="C20" s="76">
        <f>Assumptions!D12</f>
        <v>6.5875974246018293E-5</v>
      </c>
      <c r="D20" s="70"/>
      <c r="E20" s="71"/>
    </row>
    <row r="22" spans="1:5">
      <c r="A22" s="3" t="s">
        <v>898</v>
      </c>
    </row>
    <row r="23" spans="1:5">
      <c r="A23" s="5" t="s">
        <v>1482</v>
      </c>
      <c r="B23" s="44">
        <f>C20*C12/(C14*C15)*C17</f>
        <v>0.2725638316489426</v>
      </c>
    </row>
    <row r="24" spans="1:5">
      <c r="A24" s="6" t="s">
        <v>1280</v>
      </c>
      <c r="B24" s="13">
        <f>B23*C16*C18</f>
        <v>4.693549180994791E-2</v>
      </c>
    </row>
  </sheetData>
  <sheetProtection algorithmName="SHA-512" hashValue="l9dkXXLb9Ki+r4TebwW4Mt4DSA7piaqiwlt93XNIyuI5wxxQwF/ObjaBQ40V810KTi/4OD6DCo51ZXLqelcgWA==" saltValue="+ZAp6kISC1vjL8KvVd5aRw==" spinCount="100000" sheet="1" objects="1" scenarios="1"/>
  <mergeCells count="4">
    <mergeCell ref="C1:M1"/>
    <mergeCell ref="C2:M2"/>
    <mergeCell ref="C3:M3"/>
    <mergeCell ref="C4:M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E2CDD-9B7D-4581-B6CC-164B8A09C72C}">
  <sheetPr codeName="Sheet6">
    <tabColor theme="9" tint="-0.249977111117893"/>
  </sheetPr>
  <dimension ref="A1:M33"/>
  <sheetViews>
    <sheetView topLeftCell="A3" workbookViewId="0">
      <selection activeCell="C4" sqref="C4:M4"/>
    </sheetView>
  </sheetViews>
  <sheetFormatPr defaultRowHeight="14.45"/>
  <cols>
    <col min="1" max="1" width="22.85546875" customWidth="1"/>
    <col min="2" max="2" width="26.85546875" customWidth="1"/>
    <col min="3" max="3" width="10.140625" customWidth="1"/>
  </cols>
  <sheetData>
    <row r="1" spans="1:13">
      <c r="A1" s="3" t="s">
        <v>791</v>
      </c>
      <c r="B1" s="3" t="s">
        <v>854</v>
      </c>
      <c r="C1" s="1851" t="s">
        <v>1265</v>
      </c>
      <c r="D1" s="1851"/>
      <c r="E1" s="1851"/>
      <c r="F1" s="1851"/>
      <c r="G1" s="1851"/>
      <c r="H1" s="1851"/>
      <c r="I1" s="1851"/>
      <c r="J1" s="1851"/>
      <c r="K1" s="1851"/>
      <c r="L1" s="1851"/>
      <c r="M1" s="1851"/>
    </row>
    <row r="2" spans="1:13">
      <c r="A2" s="21" t="s">
        <v>1266</v>
      </c>
      <c r="B2" s="113" t="s">
        <v>421</v>
      </c>
      <c r="C2" s="1850"/>
      <c r="D2" s="1850"/>
      <c r="E2" s="1850"/>
      <c r="F2" s="1850"/>
      <c r="G2" s="1850"/>
      <c r="H2" s="1850"/>
      <c r="I2" s="1850"/>
      <c r="J2" s="1850"/>
      <c r="K2" s="1850"/>
      <c r="L2" s="1850"/>
      <c r="M2" s="1868"/>
    </row>
    <row r="3" spans="1:13" ht="75.95" customHeight="1">
      <c r="A3" s="21" t="s">
        <v>1268</v>
      </c>
      <c r="B3" s="113" t="s">
        <v>1269</v>
      </c>
      <c r="C3" s="1850" t="s">
        <v>1487</v>
      </c>
      <c r="D3" s="1850"/>
      <c r="E3" s="1850"/>
      <c r="F3" s="1850"/>
      <c r="G3" s="1850"/>
      <c r="H3" s="1850"/>
      <c r="I3" s="1850"/>
      <c r="J3" s="1850"/>
      <c r="K3" s="1850"/>
      <c r="L3" s="1850"/>
      <c r="M3" s="1868"/>
    </row>
    <row r="4" spans="1:13" ht="80.099999999999994" customHeight="1">
      <c r="A4" s="21" t="s">
        <v>1273</v>
      </c>
      <c r="B4" s="113" t="s">
        <v>489</v>
      </c>
      <c r="C4" s="1850" t="s">
        <v>1488</v>
      </c>
      <c r="D4" s="1850"/>
      <c r="E4" s="1850"/>
      <c r="F4" s="1850"/>
      <c r="G4" s="1850"/>
      <c r="H4" s="1850"/>
      <c r="I4" s="1850"/>
      <c r="J4" s="1850"/>
      <c r="K4" s="1850"/>
      <c r="L4" s="1850"/>
      <c r="M4" s="1868"/>
    </row>
    <row r="6" spans="1:13">
      <c r="A6" s="3" t="s">
        <v>1489</v>
      </c>
    </row>
    <row r="7" spans="1:13">
      <c r="A7" s="1" t="s">
        <v>1490</v>
      </c>
      <c r="B7" s="11" t="s">
        <v>1278</v>
      </c>
      <c r="C7" t="s">
        <v>1491</v>
      </c>
    </row>
    <row r="8" spans="1:13">
      <c r="A8" s="1" t="s">
        <v>1492</v>
      </c>
      <c r="B8" s="11" t="s">
        <v>1278</v>
      </c>
      <c r="C8" t="s">
        <v>1493</v>
      </c>
    </row>
    <row r="9" spans="1:13">
      <c r="A9" s="1" t="s">
        <v>1494</v>
      </c>
      <c r="B9" s="11" t="s">
        <v>1278</v>
      </c>
      <c r="C9" t="s">
        <v>1495</v>
      </c>
    </row>
    <row r="11" spans="1:13">
      <c r="A11" s="3" t="s">
        <v>1496</v>
      </c>
    </row>
    <row r="12" spans="1:13">
      <c r="A12" s="162" t="s">
        <v>791</v>
      </c>
      <c r="B12" s="5" t="s">
        <v>1291</v>
      </c>
      <c r="C12" s="5" t="s">
        <v>362</v>
      </c>
      <c r="D12" s="5" t="s">
        <v>261</v>
      </c>
      <c r="E12" s="5" t="s">
        <v>1292</v>
      </c>
    </row>
    <row r="13" spans="1:13">
      <c r="A13" s="38" t="s">
        <v>565</v>
      </c>
      <c r="B13" s="5" t="s">
        <v>1497</v>
      </c>
      <c r="C13" s="72">
        <f>Assumptions!D7</f>
        <v>0.9</v>
      </c>
      <c r="D13" s="5" t="str">
        <f>Assumptions!E7</f>
        <v>CFM/sqft</v>
      </c>
      <c r="E13" s="5"/>
    </row>
    <row r="14" spans="1:13">
      <c r="A14" s="40"/>
      <c r="B14" s="5" t="s">
        <v>1306</v>
      </c>
      <c r="C14" s="42">
        <v>1.08</v>
      </c>
      <c r="D14" s="5"/>
      <c r="E14" s="5"/>
    </row>
    <row r="15" spans="1:13">
      <c r="A15" s="40"/>
      <c r="B15" s="5" t="s">
        <v>1498</v>
      </c>
      <c r="C15" s="42">
        <f>Assumptions!D53</f>
        <v>80</v>
      </c>
      <c r="D15" s="5" t="s">
        <v>1062</v>
      </c>
      <c r="E15" s="5"/>
    </row>
    <row r="16" spans="1:13">
      <c r="A16" s="40"/>
      <c r="B16" s="5" t="s">
        <v>1499</v>
      </c>
      <c r="C16" s="42">
        <f>Assumptions!D52</f>
        <v>64</v>
      </c>
      <c r="D16" s="5" t="s">
        <v>1062</v>
      </c>
      <c r="E16" s="5"/>
    </row>
    <row r="17" spans="1:5">
      <c r="A17" s="40"/>
      <c r="B17" s="5" t="s">
        <v>1500</v>
      </c>
      <c r="C17" s="5">
        <f>Assumptions!D67</f>
        <v>0.7</v>
      </c>
      <c r="D17" s="5"/>
      <c r="E17" s="5"/>
    </row>
    <row r="18" spans="1:5">
      <c r="A18" s="40"/>
      <c r="B18" s="5" t="s">
        <v>1501</v>
      </c>
      <c r="C18" s="159">
        <f>C17*5*Assumptions!D70</f>
        <v>106.25</v>
      </c>
      <c r="D18" s="5" t="s">
        <v>1120</v>
      </c>
      <c r="E18" s="5" t="s">
        <v>1502</v>
      </c>
    </row>
    <row r="19" spans="1:5">
      <c r="A19" s="40"/>
      <c r="B19" s="5" t="s">
        <v>1503</v>
      </c>
      <c r="C19" s="5">
        <v>1000</v>
      </c>
      <c r="D19" s="5" t="s">
        <v>1158</v>
      </c>
      <c r="E19" s="5"/>
    </row>
    <row r="20" spans="1:5">
      <c r="A20" s="40"/>
      <c r="B20" s="5" t="s">
        <v>1504</v>
      </c>
      <c r="C20" s="77">
        <f>Assumptions!D23</f>
        <v>0.82</v>
      </c>
      <c r="D20" s="5"/>
      <c r="E20" s="5"/>
    </row>
    <row r="21" spans="1:5">
      <c r="A21" s="18"/>
      <c r="B21" s="5" t="s">
        <v>1505</v>
      </c>
      <c r="C21" s="77">
        <f>Assumptions!D24</f>
        <v>0.92</v>
      </c>
      <c r="D21" s="5"/>
      <c r="E21" s="5"/>
    </row>
    <row r="22" spans="1:5">
      <c r="A22" s="38" t="s">
        <v>1506</v>
      </c>
      <c r="B22" s="5" t="s">
        <v>1295</v>
      </c>
      <c r="C22" s="77">
        <f>Assumptions!D18</f>
        <v>0.92</v>
      </c>
      <c r="D22" s="5"/>
      <c r="E22" s="5"/>
    </row>
    <row r="23" spans="1:5">
      <c r="A23" s="40"/>
      <c r="B23" s="5" t="s">
        <v>1507</v>
      </c>
      <c r="C23" s="77">
        <f>Assumptions!D19</f>
        <v>0.96</v>
      </c>
      <c r="D23" s="5"/>
      <c r="E23" s="5"/>
    </row>
    <row r="24" spans="1:5">
      <c r="A24" s="40"/>
      <c r="B24" s="19" t="s">
        <v>1485</v>
      </c>
      <c r="C24" s="77">
        <f>Assumptions!D17</f>
        <v>0.65</v>
      </c>
      <c r="D24" s="5"/>
      <c r="E24" s="5"/>
    </row>
    <row r="25" spans="1:5">
      <c r="A25" s="40"/>
      <c r="B25" s="19" t="s">
        <v>1021</v>
      </c>
      <c r="C25" s="109">
        <f>Assumptions!D10</f>
        <v>2</v>
      </c>
      <c r="D25" s="5" t="s">
        <v>1019</v>
      </c>
      <c r="E25" s="5"/>
    </row>
    <row r="26" spans="1:5">
      <c r="A26" s="40"/>
      <c r="B26" s="5" t="s">
        <v>1508</v>
      </c>
      <c r="C26" s="160">
        <f>Assumptions!D11</f>
        <v>4.3568766035726386E-4</v>
      </c>
      <c r="D26" s="5"/>
      <c r="E26" s="5"/>
    </row>
    <row r="27" spans="1:5">
      <c r="A27" s="18"/>
      <c r="B27" s="5" t="s">
        <v>1509</v>
      </c>
      <c r="C27" s="160">
        <f>C13*C25/(6356*C24)</f>
        <v>4.3568766035726386E-4</v>
      </c>
      <c r="D27" s="5"/>
      <c r="E27" s="5" t="s">
        <v>1510</v>
      </c>
    </row>
    <row r="29" spans="1:5">
      <c r="A29" s="9" t="s">
        <v>898</v>
      </c>
      <c r="B29" s="6"/>
    </row>
    <row r="30" spans="1:5">
      <c r="A30" s="6" t="s">
        <v>1511</v>
      </c>
      <c r="B30" s="7">
        <f>C13*C14*(C15-C16)*C18/(C19*C20)</f>
        <v>2.0151219512195122</v>
      </c>
      <c r="C30" s="6" t="s">
        <v>1512</v>
      </c>
    </row>
    <row r="31" spans="1:5">
      <c r="A31" s="164" t="s">
        <v>1513</v>
      </c>
      <c r="B31" s="261">
        <f>C13*C14*(C15-C16)*C18/(C19*C21)</f>
        <v>1.7960869565217392</v>
      </c>
      <c r="C31" s="164" t="s">
        <v>1512</v>
      </c>
      <c r="D31" t="s">
        <v>1456</v>
      </c>
    </row>
    <row r="32" spans="1:5">
      <c r="A32" s="6" t="s">
        <v>1277</v>
      </c>
      <c r="B32" s="8">
        <f>C26*0.747/(C22*C23)*C18</f>
        <v>3.9153062718501573E-2</v>
      </c>
      <c r="C32" s="6" t="s">
        <v>1326</v>
      </c>
    </row>
    <row r="33" spans="1:3">
      <c r="A33" s="6" t="s">
        <v>1280</v>
      </c>
      <c r="B33" s="8">
        <f>C27*0.747/(C22*C23)*C18</f>
        <v>3.9153062718501573E-2</v>
      </c>
      <c r="C33" s="6" t="s">
        <v>1514</v>
      </c>
    </row>
  </sheetData>
  <sheetProtection algorithmName="SHA-512" hashValue="Sfx0bP36T2UK5IIx9WJ9FgLi6FoKFEM3asZtLf3AcDyWzKcMGQVvOjUx6v3k9QArLT2nqcTGRADmbWhA6fZ06Q==" saltValue="bJtXiOxJbzDkwv1544KALg==" spinCount="100000" sheet="1" objects="1" scenarios="1"/>
  <mergeCells count="4">
    <mergeCell ref="C1:M1"/>
    <mergeCell ref="C2:M2"/>
    <mergeCell ref="C3:M3"/>
    <mergeCell ref="C4:M4"/>
  </mergeCells>
  <phoneticPr fontId="7" type="noConversion"/>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23128-B62F-4F11-8334-1A6DA2F6DE37}">
  <sheetPr codeName="Sheet7">
    <tabColor theme="9" tint="-0.249977111117893"/>
  </sheetPr>
  <dimension ref="A1:M18"/>
  <sheetViews>
    <sheetView workbookViewId="0">
      <selection activeCell="H14" sqref="H14"/>
    </sheetView>
  </sheetViews>
  <sheetFormatPr defaultRowHeight="14.45"/>
  <cols>
    <col min="1" max="1" width="31.85546875" customWidth="1"/>
  </cols>
  <sheetData>
    <row r="1" spans="1:13">
      <c r="A1" s="3" t="s">
        <v>791</v>
      </c>
      <c r="B1" s="3" t="s">
        <v>854</v>
      </c>
      <c r="C1" s="1851" t="s">
        <v>1265</v>
      </c>
      <c r="D1" s="1851"/>
      <c r="E1" s="1851"/>
      <c r="F1" s="1851"/>
      <c r="G1" s="1851"/>
      <c r="H1" s="1851"/>
      <c r="I1" s="1851"/>
      <c r="J1" s="1851"/>
      <c r="K1" s="1851"/>
      <c r="L1" s="1851"/>
      <c r="M1" s="1851"/>
    </row>
    <row r="2" spans="1:13" ht="109.5" customHeight="1">
      <c r="A2" s="21" t="s">
        <v>1266</v>
      </c>
      <c r="B2" s="113" t="s">
        <v>489</v>
      </c>
      <c r="C2" s="1850" t="s">
        <v>1515</v>
      </c>
      <c r="D2" s="1850"/>
      <c r="E2" s="1850"/>
      <c r="F2" s="1850"/>
      <c r="G2" s="1850"/>
      <c r="H2" s="1850"/>
      <c r="I2" s="1850"/>
      <c r="J2" s="1850"/>
      <c r="K2" s="1850"/>
      <c r="L2" s="1850"/>
      <c r="M2" s="1868"/>
    </row>
    <row r="3" spans="1:13">
      <c r="A3" s="21" t="s">
        <v>1268</v>
      </c>
      <c r="B3" s="113" t="s">
        <v>421</v>
      </c>
      <c r="C3" s="1850"/>
      <c r="D3" s="1850"/>
      <c r="E3" s="1850"/>
      <c r="F3" s="1850"/>
      <c r="G3" s="1850"/>
      <c r="H3" s="1850"/>
      <c r="I3" s="1850"/>
      <c r="J3" s="1850"/>
      <c r="K3" s="1850"/>
      <c r="L3" s="1850"/>
      <c r="M3" s="1868"/>
    </row>
    <row r="4" spans="1:13">
      <c r="A4" s="21" t="s">
        <v>1273</v>
      </c>
      <c r="B4" s="113" t="s">
        <v>421</v>
      </c>
      <c r="C4" s="1850"/>
      <c r="D4" s="1850"/>
      <c r="E4" s="1850"/>
      <c r="F4" s="1850"/>
      <c r="G4" s="1850"/>
      <c r="H4" s="1850"/>
      <c r="I4" s="1850"/>
      <c r="J4" s="1850"/>
      <c r="K4" s="1850"/>
      <c r="L4" s="1850"/>
      <c r="M4" s="1868"/>
    </row>
    <row r="6" spans="1:13">
      <c r="A6" s="3" t="s">
        <v>1408</v>
      </c>
    </row>
    <row r="7" spans="1:13">
      <c r="A7" t="s">
        <v>1409</v>
      </c>
      <c r="B7" s="10" t="s">
        <v>1278</v>
      </c>
      <c r="C7" t="s">
        <v>1516</v>
      </c>
    </row>
    <row r="9" spans="1:13">
      <c r="A9" s="3" t="s">
        <v>1288</v>
      </c>
    </row>
    <row r="10" spans="1:13">
      <c r="A10" s="5" t="s">
        <v>1517</v>
      </c>
      <c r="B10" s="42">
        <f>Assumptions!D4</f>
        <v>0.81750329214143558</v>
      </c>
      <c r="C10" s="5" t="s">
        <v>1326</v>
      </c>
    </row>
    <row r="11" spans="1:13">
      <c r="A11" s="5" t="s">
        <v>1139</v>
      </c>
      <c r="B11" s="153">
        <f>Assumptions!D77</f>
        <v>5</v>
      </c>
      <c r="C11" s="5" t="s">
        <v>1062</v>
      </c>
    </row>
    <row r="12" spans="1:13">
      <c r="A12" s="5" t="s">
        <v>1141</v>
      </c>
      <c r="B12" s="79">
        <f>Assumptions!D78</f>
        <v>0.02</v>
      </c>
      <c r="C12" s="5"/>
    </row>
    <row r="13" spans="1:13">
      <c r="A13" s="5" t="s">
        <v>1142</v>
      </c>
      <c r="B13" s="79">
        <f>Assumptions!D79</f>
        <v>0.85</v>
      </c>
      <c r="C13" s="5"/>
    </row>
    <row r="14" spans="1:13">
      <c r="A14" s="5" t="s">
        <v>1143</v>
      </c>
      <c r="B14" s="42">
        <f>Assumptions!D80</f>
        <v>1482</v>
      </c>
      <c r="C14" s="5" t="s">
        <v>1149</v>
      </c>
    </row>
    <row r="15" spans="1:13">
      <c r="A15" s="5" t="s">
        <v>1144</v>
      </c>
      <c r="B15" s="5">
        <f>Assumptions!D81</f>
        <v>3470</v>
      </c>
      <c r="C15" s="5" t="s">
        <v>1149</v>
      </c>
    </row>
    <row r="17" spans="1:2">
      <c r="A17" s="3" t="s">
        <v>898</v>
      </c>
    </row>
    <row r="18" spans="1:2">
      <c r="A18" s="6" t="s">
        <v>1409</v>
      </c>
      <c r="B18" s="13">
        <f>B10*B11*B12*B13*B14/B15</f>
        <v>2.9677489830275686E-2</v>
      </c>
    </row>
  </sheetData>
  <sheetProtection algorithmName="SHA-512" hashValue="Zdy1ZYHei4Zwf7VSc0FZzIj8Lcw3YMm9kLzhIksWRUM1HpUrPivLyVl59RMuKEKjcZvT0tVHnhPhrthDI/PQMQ==" saltValue="T4YBFYbQuDIYyjcu0vsZzQ==" spinCount="100000" sheet="1" objects="1" scenarios="1"/>
  <mergeCells count="4">
    <mergeCell ref="C1:M1"/>
    <mergeCell ref="C2:M2"/>
    <mergeCell ref="C3:M3"/>
    <mergeCell ref="C4:M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6E069-93CA-4E79-8E28-910D52FC9A70}">
  <sheetPr codeName="Sheet8">
    <tabColor theme="9" tint="-0.249977111117893"/>
  </sheetPr>
  <dimension ref="A1:M24"/>
  <sheetViews>
    <sheetView topLeftCell="A20" workbookViewId="0">
      <selection activeCell="B28" sqref="B28"/>
    </sheetView>
  </sheetViews>
  <sheetFormatPr defaultRowHeight="14.45"/>
  <cols>
    <col min="1" max="1" width="28.28515625" customWidth="1"/>
    <col min="2" max="2" width="36.7109375" customWidth="1"/>
    <col min="4" max="4" width="21.42578125" bestFit="1" customWidth="1"/>
  </cols>
  <sheetData>
    <row r="1" spans="1:13">
      <c r="A1" s="3" t="s">
        <v>791</v>
      </c>
      <c r="B1" s="3" t="s">
        <v>854</v>
      </c>
      <c r="C1" s="1851" t="s">
        <v>1265</v>
      </c>
      <c r="D1" s="1851"/>
      <c r="E1" s="1851"/>
      <c r="F1" s="1851"/>
      <c r="G1" s="1851"/>
      <c r="H1" s="1851"/>
      <c r="I1" s="1851"/>
      <c r="J1" s="1851"/>
      <c r="K1" s="1851"/>
      <c r="L1" s="1851"/>
      <c r="M1" s="1851"/>
    </row>
    <row r="2" spans="1:13">
      <c r="A2" s="21" t="s">
        <v>1266</v>
      </c>
      <c r="B2" s="113" t="s">
        <v>421</v>
      </c>
      <c r="C2" s="1850"/>
      <c r="D2" s="1850"/>
      <c r="E2" s="1850"/>
      <c r="F2" s="1850"/>
      <c r="G2" s="1850"/>
      <c r="H2" s="1850"/>
      <c r="I2" s="1850"/>
      <c r="J2" s="1850"/>
      <c r="K2" s="1850"/>
      <c r="L2" s="1850"/>
      <c r="M2" s="1868"/>
    </row>
    <row r="3" spans="1:13" ht="126.75" customHeight="1">
      <c r="A3" s="21" t="s">
        <v>1268</v>
      </c>
      <c r="B3" s="113" t="s">
        <v>489</v>
      </c>
      <c r="C3" s="1850" t="s">
        <v>1518</v>
      </c>
      <c r="D3" s="1850"/>
      <c r="E3" s="1850"/>
      <c r="F3" s="1850"/>
      <c r="G3" s="1850"/>
      <c r="H3" s="1850"/>
      <c r="I3" s="1850"/>
      <c r="J3" s="1850"/>
      <c r="K3" s="1850"/>
      <c r="L3" s="1850"/>
      <c r="M3" s="1868"/>
    </row>
    <row r="4" spans="1:13">
      <c r="A4" s="21" t="s">
        <v>1273</v>
      </c>
      <c r="B4" s="113" t="s">
        <v>421</v>
      </c>
      <c r="C4" s="1850"/>
      <c r="D4" s="1850"/>
      <c r="E4" s="1850"/>
      <c r="F4" s="1850"/>
      <c r="G4" s="1850"/>
      <c r="H4" s="1850"/>
      <c r="I4" s="1850"/>
      <c r="J4" s="1850"/>
      <c r="K4" s="1850"/>
      <c r="L4" s="1850"/>
      <c r="M4" s="1868"/>
    </row>
    <row r="6" spans="1:13">
      <c r="A6" s="3" t="s">
        <v>1408</v>
      </c>
    </row>
    <row r="7" spans="1:13">
      <c r="A7" t="s">
        <v>1519</v>
      </c>
      <c r="B7" s="11" t="s">
        <v>1278</v>
      </c>
      <c r="C7" t="s">
        <v>1520</v>
      </c>
    </row>
    <row r="8" spans="1:13">
      <c r="A8" t="s">
        <v>1521</v>
      </c>
      <c r="B8" s="11" t="s">
        <v>1278</v>
      </c>
      <c r="C8" t="s">
        <v>1522</v>
      </c>
    </row>
    <row r="10" spans="1:13">
      <c r="A10" s="3" t="s">
        <v>1288</v>
      </c>
    </row>
    <row r="11" spans="1:13">
      <c r="A11" s="27"/>
      <c r="B11" s="23" t="s">
        <v>1523</v>
      </c>
      <c r="C11" s="77">
        <f>Assumptions!$D$62</f>
        <v>0.1</v>
      </c>
      <c r="D11" s="5"/>
      <c r="E11" t="s">
        <v>1524</v>
      </c>
    </row>
    <row r="12" spans="1:13">
      <c r="A12" s="29"/>
      <c r="B12" s="23" t="s">
        <v>1525</v>
      </c>
      <c r="C12" s="109">
        <f>Assumptions!$D$6</f>
        <v>32.474415223108984</v>
      </c>
      <c r="D12" s="5" t="s">
        <v>1314</v>
      </c>
    </row>
    <row r="13" spans="1:13">
      <c r="A13" s="40" t="s">
        <v>181</v>
      </c>
      <c r="B13" s="253" t="s">
        <v>1526</v>
      </c>
      <c r="C13" s="18">
        <v>31</v>
      </c>
      <c r="D13" s="18" t="s">
        <v>1527</v>
      </c>
      <c r="E13" t="s">
        <v>1528</v>
      </c>
    </row>
    <row r="14" spans="1:13">
      <c r="A14" s="40"/>
      <c r="B14" s="23" t="s">
        <v>1529</v>
      </c>
      <c r="C14" s="5">
        <v>24</v>
      </c>
      <c r="D14" s="5" t="s">
        <v>1527</v>
      </c>
      <c r="E14" t="s">
        <v>1530</v>
      </c>
    </row>
    <row r="15" spans="1:13">
      <c r="A15" s="38" t="s">
        <v>182</v>
      </c>
      <c r="B15" s="23" t="s">
        <v>1531</v>
      </c>
      <c r="C15" s="42">
        <f>Assumptions!$D$23</f>
        <v>0.82</v>
      </c>
      <c r="D15" s="5"/>
    </row>
    <row r="16" spans="1:13">
      <c r="A16" s="40"/>
      <c r="B16" s="23" t="s">
        <v>1526</v>
      </c>
      <c r="C16" s="5">
        <v>24</v>
      </c>
      <c r="D16" s="5" t="s">
        <v>1527</v>
      </c>
      <c r="E16" t="s">
        <v>1532</v>
      </c>
    </row>
    <row r="17" spans="1:5">
      <c r="A17" s="40"/>
      <c r="B17" s="23" t="s">
        <v>1529</v>
      </c>
      <c r="C17" s="5">
        <v>19</v>
      </c>
      <c r="D17" s="5" t="s">
        <v>1527</v>
      </c>
      <c r="E17" t="s">
        <v>1533</v>
      </c>
    </row>
    <row r="18" spans="1:5">
      <c r="A18" s="18"/>
      <c r="B18" s="23" t="s">
        <v>1505</v>
      </c>
      <c r="C18" s="42">
        <f>Assumptions!$D$24</f>
        <v>0.92</v>
      </c>
      <c r="D18" s="5"/>
    </row>
    <row r="20" spans="1:5">
      <c r="A20" s="3" t="s">
        <v>898</v>
      </c>
    </row>
    <row r="21" spans="1:5" ht="29.1">
      <c r="A21" s="16" t="s">
        <v>1534</v>
      </c>
      <c r="B21" s="73">
        <f>(C13-C14)/C13</f>
        <v>0.22580645161290322</v>
      </c>
      <c r="C21" s="5"/>
    </row>
    <row r="22" spans="1:5">
      <c r="A22" s="78" t="s">
        <v>1519</v>
      </c>
      <c r="B22" s="13">
        <f>C12*B21*C11</f>
        <v>0.73329324697342868</v>
      </c>
      <c r="C22" s="6" t="s">
        <v>1314</v>
      </c>
      <c r="D22" s="111"/>
    </row>
    <row r="23" spans="1:5" ht="29.1">
      <c r="A23" s="16" t="s">
        <v>1535</v>
      </c>
      <c r="B23" s="73">
        <f>(C16-C17)/C16</f>
        <v>0.20833333333333334</v>
      </c>
      <c r="C23" s="5"/>
      <c r="D23" s="112"/>
    </row>
    <row r="24" spans="1:5">
      <c r="A24" s="166" t="s">
        <v>1521</v>
      </c>
      <c r="B24" s="262">
        <f>C12*B23*C11</f>
        <v>0.67655031714810399</v>
      </c>
      <c r="C24" s="164" t="s">
        <v>1314</v>
      </c>
      <c r="D24" t="s">
        <v>1456</v>
      </c>
    </row>
  </sheetData>
  <sheetProtection algorithmName="SHA-512" hashValue="9fyGs3cRQ1q5YrIaHXblDl6PCbtKyu0BttdRkXWYKYQ9FQiEfT1Jyma3w9+9bFz3wMUx1g813F1gJ/vbHLRY+A==" saltValue="JzuW9ua8j8KZKF8Zc/BXZw==" spinCount="100000" sheet="1" objects="1" scenarios="1"/>
  <mergeCells count="4">
    <mergeCell ref="C1:M1"/>
    <mergeCell ref="C2:M2"/>
    <mergeCell ref="C3:M3"/>
    <mergeCell ref="C4:M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E5654-A451-442C-9681-37FE2330B926}">
  <sheetPr codeName="Sheet9">
    <tabColor theme="9" tint="-0.249977111117893"/>
  </sheetPr>
  <dimension ref="A1:M63"/>
  <sheetViews>
    <sheetView zoomScaleNormal="100" workbookViewId="0">
      <selection activeCell="C9" sqref="C9"/>
    </sheetView>
  </sheetViews>
  <sheetFormatPr defaultRowHeight="14.45"/>
  <cols>
    <col min="1" max="1" width="19.7109375" customWidth="1"/>
    <col min="2" max="2" width="26.28515625" customWidth="1"/>
    <col min="11" max="11" width="12.7109375" customWidth="1"/>
    <col min="13" max="13" width="22.85546875" bestFit="1" customWidth="1"/>
  </cols>
  <sheetData>
    <row r="1" spans="1:13">
      <c r="A1" s="3" t="s">
        <v>791</v>
      </c>
      <c r="B1" s="3" t="s">
        <v>854</v>
      </c>
      <c r="C1" s="1851" t="s">
        <v>1265</v>
      </c>
      <c r="D1" s="1851"/>
      <c r="E1" s="1851"/>
      <c r="F1" s="1851"/>
      <c r="G1" s="1851"/>
      <c r="H1" s="1851"/>
      <c r="I1" s="1851"/>
      <c r="J1" s="1851"/>
      <c r="K1" s="1851"/>
      <c r="L1" s="1851"/>
      <c r="M1" s="1851"/>
    </row>
    <row r="2" spans="1:13" ht="53.45" customHeight="1">
      <c r="A2" s="27" t="s">
        <v>1266</v>
      </c>
      <c r="B2" s="114" t="s">
        <v>489</v>
      </c>
      <c r="C2" s="1853" t="s">
        <v>1536</v>
      </c>
      <c r="D2" s="1853"/>
      <c r="E2" s="1853"/>
      <c r="F2" s="1853"/>
      <c r="G2" s="1853"/>
      <c r="H2" s="1853"/>
      <c r="I2" s="1853"/>
      <c r="J2" s="1853"/>
      <c r="K2" s="1853"/>
      <c r="L2" s="1853"/>
      <c r="M2" s="1869"/>
    </row>
    <row r="3" spans="1:13" ht="49.5" customHeight="1">
      <c r="A3" s="27" t="s">
        <v>1268</v>
      </c>
      <c r="B3" s="114" t="s">
        <v>489</v>
      </c>
      <c r="C3" s="1853" t="s">
        <v>1537</v>
      </c>
      <c r="D3" s="1853"/>
      <c r="E3" s="1853"/>
      <c r="F3" s="1853"/>
      <c r="G3" s="1853"/>
      <c r="H3" s="1853"/>
      <c r="I3" s="1853"/>
      <c r="J3" s="1853"/>
      <c r="K3" s="1853"/>
      <c r="L3" s="1853"/>
      <c r="M3" s="1869"/>
    </row>
    <row r="4" spans="1:13" ht="36.75" customHeight="1">
      <c r="A4" s="28"/>
      <c r="C4" s="1854" t="s">
        <v>1538</v>
      </c>
      <c r="D4" s="1854"/>
      <c r="E4" s="1854"/>
      <c r="F4" s="1854"/>
      <c r="G4" s="1854"/>
      <c r="H4" s="1854"/>
      <c r="I4" s="1854"/>
      <c r="J4" s="1854"/>
      <c r="K4" s="1854"/>
      <c r="L4" s="1854"/>
      <c r="M4" s="1871"/>
    </row>
    <row r="5" spans="1:13" ht="48" customHeight="1">
      <c r="A5" s="28"/>
      <c r="C5" s="1854" t="s">
        <v>1539</v>
      </c>
      <c r="D5" s="1854"/>
      <c r="E5" s="1854"/>
      <c r="F5" s="1854"/>
      <c r="G5" s="1854"/>
      <c r="H5" s="1854"/>
      <c r="I5" s="1854"/>
      <c r="J5" s="1854"/>
      <c r="K5" s="1854"/>
      <c r="L5" s="1854"/>
      <c r="M5" s="1871"/>
    </row>
    <row r="6" spans="1:13" ht="31.5" customHeight="1">
      <c r="A6" s="29"/>
      <c r="B6" s="19"/>
      <c r="C6" s="1852" t="s">
        <v>1540</v>
      </c>
      <c r="D6" s="1852"/>
      <c r="E6" s="1852"/>
      <c r="F6" s="1852"/>
      <c r="G6" s="1852"/>
      <c r="H6" s="1852"/>
      <c r="I6" s="1852"/>
      <c r="J6" s="1852"/>
      <c r="K6" s="1852"/>
      <c r="L6" s="1852"/>
      <c r="M6" s="1870"/>
    </row>
    <row r="7" spans="1:13" ht="61.5" customHeight="1">
      <c r="A7" s="29"/>
      <c r="B7" s="19"/>
      <c r="C7" s="1875" t="s">
        <v>1541</v>
      </c>
      <c r="D7" s="1875"/>
      <c r="E7" s="1875"/>
      <c r="F7" s="1875"/>
      <c r="G7" s="1875"/>
      <c r="H7" s="1875"/>
      <c r="I7" s="1875"/>
      <c r="J7" s="1875"/>
      <c r="K7" s="1875"/>
      <c r="L7" s="1875"/>
      <c r="M7" s="1876"/>
    </row>
    <row r="8" spans="1:13" ht="28.5" customHeight="1">
      <c r="A8" s="21" t="s">
        <v>1273</v>
      </c>
      <c r="B8" s="19" t="s">
        <v>421</v>
      </c>
      <c r="C8" s="1852" t="s">
        <v>1542</v>
      </c>
      <c r="D8" s="1852"/>
      <c r="E8" s="1852"/>
      <c r="F8" s="1852"/>
      <c r="G8" s="1852"/>
      <c r="H8" s="1852"/>
      <c r="I8" s="1852"/>
      <c r="J8" s="1852"/>
      <c r="K8" s="1852"/>
      <c r="L8" s="1852"/>
      <c r="M8" s="1870"/>
    </row>
    <row r="10" spans="1:13">
      <c r="A10" s="3" t="s">
        <v>1408</v>
      </c>
    </row>
    <row r="11" spans="1:13">
      <c r="A11" t="s">
        <v>1409</v>
      </c>
      <c r="B11" s="11" t="s">
        <v>1278</v>
      </c>
      <c r="C11" t="s">
        <v>1543</v>
      </c>
    </row>
    <row r="12" spans="1:13">
      <c r="A12" t="s">
        <v>1544</v>
      </c>
      <c r="B12" s="11" t="s">
        <v>1278</v>
      </c>
      <c r="C12" t="s">
        <v>1545</v>
      </c>
    </row>
    <row r="13" spans="1:13">
      <c r="A13" t="s">
        <v>1546</v>
      </c>
      <c r="B13" s="11" t="s">
        <v>1278</v>
      </c>
      <c r="C13" t="s">
        <v>1547</v>
      </c>
    </row>
    <row r="15" spans="1:13">
      <c r="A15" s="3" t="s">
        <v>1288</v>
      </c>
    </row>
    <row r="16" spans="1:13">
      <c r="A16" s="27" t="s">
        <v>770</v>
      </c>
      <c r="B16" s="5" t="s">
        <v>1517</v>
      </c>
      <c r="C16" s="42">
        <f>Assumptions!D4</f>
        <v>0.81750329214143558</v>
      </c>
      <c r="D16" s="5" t="s">
        <v>876</v>
      </c>
    </row>
    <row r="17" spans="1:4">
      <c r="A17" s="28" t="s">
        <v>1548</v>
      </c>
      <c r="B17" s="191" t="s">
        <v>1549</v>
      </c>
      <c r="C17" s="77">
        <f>Assumptions!D73</f>
        <v>0.2</v>
      </c>
      <c r="D17" s="5"/>
    </row>
    <row r="18" spans="1:4" ht="30.75" customHeight="1">
      <c r="A18" s="28" t="s">
        <v>1550</v>
      </c>
      <c r="B18" s="81" t="s">
        <v>1133</v>
      </c>
      <c r="C18" s="77">
        <f>Assumptions!D74</f>
        <v>0.6</v>
      </c>
      <c r="D18" s="5"/>
    </row>
    <row r="19" spans="1:4">
      <c r="A19" s="28" t="s">
        <v>1551</v>
      </c>
      <c r="B19" s="5" t="s">
        <v>1135</v>
      </c>
      <c r="C19" s="77">
        <f>Assumptions!D75</f>
        <v>0.5</v>
      </c>
      <c r="D19" s="5"/>
    </row>
    <row r="20" spans="1:4">
      <c r="A20" s="27" t="s">
        <v>565</v>
      </c>
      <c r="B20" s="5" t="s">
        <v>1552</v>
      </c>
      <c r="C20" s="42">
        <v>1.08</v>
      </c>
      <c r="D20" s="5"/>
    </row>
    <row r="21" spans="1:4">
      <c r="A21" s="28"/>
      <c r="B21" s="5" t="s">
        <v>1553</v>
      </c>
      <c r="C21" s="42">
        <v>1000</v>
      </c>
      <c r="D21" s="5"/>
    </row>
    <row r="22" spans="1:4">
      <c r="A22" s="28"/>
      <c r="B22" s="16" t="s">
        <v>1091</v>
      </c>
      <c r="C22" s="42">
        <f>Assumptions!D51</f>
        <v>70</v>
      </c>
      <c r="D22" s="5" t="s">
        <v>1062</v>
      </c>
    </row>
    <row r="23" spans="1:4">
      <c r="A23" s="28"/>
      <c r="B23" s="16" t="s">
        <v>1531</v>
      </c>
      <c r="C23" s="42">
        <f>Assumptions!D23</f>
        <v>0.82</v>
      </c>
      <c r="D23" s="5"/>
    </row>
    <row r="24" spans="1:4">
      <c r="A24" s="28"/>
      <c r="B24" s="16" t="s">
        <v>1505</v>
      </c>
      <c r="C24" s="42">
        <f>Assumptions!D24</f>
        <v>0.92</v>
      </c>
      <c r="D24" s="5"/>
    </row>
    <row r="25" spans="1:4">
      <c r="A25" s="28"/>
      <c r="B25" s="5" t="s">
        <v>1298</v>
      </c>
      <c r="C25" s="42">
        <f>Assumptions!$D$7</f>
        <v>0.9</v>
      </c>
      <c r="D25" s="5" t="s">
        <v>1299</v>
      </c>
    </row>
    <row r="26" spans="1:4">
      <c r="A26" s="28"/>
      <c r="B26" s="5" t="s">
        <v>1301</v>
      </c>
      <c r="C26" s="42">
        <f>Assumptions!$D$8</f>
        <v>0.63</v>
      </c>
      <c r="D26" s="5" t="s">
        <v>1299</v>
      </c>
    </row>
    <row r="27" spans="1:4">
      <c r="A27" s="28"/>
      <c r="B27" s="16" t="s">
        <v>1554</v>
      </c>
      <c r="C27" s="79">
        <f>Assumptions!D15</f>
        <v>0.15</v>
      </c>
      <c r="D27" s="5"/>
    </row>
    <row r="28" spans="1:4">
      <c r="A28" s="28"/>
      <c r="B28" s="16" t="s">
        <v>1555</v>
      </c>
      <c r="C28" s="79"/>
      <c r="D28" s="5"/>
    </row>
    <row r="29" spans="1:4">
      <c r="A29" s="28"/>
      <c r="B29" s="16" t="s">
        <v>1099</v>
      </c>
      <c r="C29" s="42">
        <f>Assumptions!D56</f>
        <v>66</v>
      </c>
      <c r="D29" s="5" t="s">
        <v>1062</v>
      </c>
    </row>
    <row r="30" spans="1:4">
      <c r="A30" s="28"/>
      <c r="B30" s="16" t="s">
        <v>1104</v>
      </c>
      <c r="C30" s="42">
        <f>Assumptions!D58</f>
        <v>62</v>
      </c>
      <c r="D30" s="5" t="s">
        <v>1062</v>
      </c>
    </row>
    <row r="31" spans="1:4" ht="29.1">
      <c r="A31" s="28" t="s">
        <v>1556</v>
      </c>
      <c r="B31" s="192" t="s">
        <v>1557</v>
      </c>
      <c r="C31" s="77">
        <f>Assumptions!D76</f>
        <v>0.2</v>
      </c>
      <c r="D31" s="5"/>
    </row>
    <row r="32" spans="1:4">
      <c r="B32" s="20"/>
    </row>
    <row r="33" spans="1:11">
      <c r="A33" s="3" t="s">
        <v>898</v>
      </c>
      <c r="E33" t="s">
        <v>1558</v>
      </c>
    </row>
    <row r="34" spans="1:11">
      <c r="A34" s="6" t="s">
        <v>692</v>
      </c>
      <c r="B34" s="6">
        <f>C16*C17*C18*C19</f>
        <v>4.9050197528486134E-2</v>
      </c>
      <c r="C34" s="6" t="s">
        <v>1326</v>
      </c>
      <c r="E34" t="s">
        <v>1559</v>
      </c>
    </row>
    <row r="35" spans="1:11">
      <c r="A35" s="6" t="s">
        <v>1454</v>
      </c>
      <c r="B35" s="8">
        <f>C31*I63</f>
        <v>0.80326317073170839</v>
      </c>
      <c r="C35" s="6" t="s">
        <v>1560</v>
      </c>
    </row>
    <row r="36" spans="1:11">
      <c r="A36" s="164" t="s">
        <v>1455</v>
      </c>
      <c r="B36" s="168">
        <f>C31*K63</f>
        <v>0.71595195652174004</v>
      </c>
      <c r="C36" s="164" t="s">
        <v>1560</v>
      </c>
      <c r="D36" t="s">
        <v>1456</v>
      </c>
    </row>
    <row r="37" spans="1:11" ht="15" thickBot="1"/>
    <row r="38" spans="1:11">
      <c r="A38" s="127"/>
      <c r="B38" s="1858" t="s">
        <v>1333</v>
      </c>
      <c r="C38" s="1859"/>
      <c r="D38" s="1860"/>
      <c r="E38" s="1858" t="s">
        <v>689</v>
      </c>
      <c r="F38" s="1860"/>
      <c r="G38" s="131" t="s">
        <v>1561</v>
      </c>
      <c r="H38" s="132"/>
      <c r="I38" s="1872" t="s">
        <v>1546</v>
      </c>
      <c r="J38" s="1873"/>
      <c r="K38" s="1874"/>
    </row>
    <row r="39" spans="1:11" ht="60.6">
      <c r="A39" s="128" t="s">
        <v>1337</v>
      </c>
      <c r="B39" s="30" t="s">
        <v>1338</v>
      </c>
      <c r="C39" s="15" t="s">
        <v>1339</v>
      </c>
      <c r="D39" s="31" t="s">
        <v>1340</v>
      </c>
      <c r="E39" s="30" t="s">
        <v>1341</v>
      </c>
      <c r="F39" s="31" t="s">
        <v>1342</v>
      </c>
      <c r="G39" s="133" t="s">
        <v>880</v>
      </c>
      <c r="H39" s="48" t="s">
        <v>881</v>
      </c>
      <c r="I39" s="30" t="s">
        <v>1562</v>
      </c>
      <c r="J39" s="15" t="s">
        <v>1563</v>
      </c>
      <c r="K39" s="139" t="s">
        <v>182</v>
      </c>
    </row>
    <row r="40" spans="1:11">
      <c r="A40" s="129" t="s">
        <v>770</v>
      </c>
      <c r="B40" s="32" t="s">
        <v>1354</v>
      </c>
      <c r="C40" s="14" t="s">
        <v>1355</v>
      </c>
      <c r="D40" s="33">
        <v>0</v>
      </c>
      <c r="E40" s="24">
        <v>0</v>
      </c>
      <c r="F40" s="25">
        <f>D40-E40</f>
        <v>0</v>
      </c>
      <c r="G40" s="134">
        <f t="shared" ref="G40:G47" si="0">MIN((1-$C$27)*$C$22+$C$27*C40,$C$29)</f>
        <v>66</v>
      </c>
      <c r="H40" s="135">
        <f t="shared" ref="H40:H47" si="1">MIN((1-$C$28)*$C$22+$C$28*C40,$C$30)</f>
        <v>62</v>
      </c>
      <c r="I40" s="24"/>
      <c r="J40" s="5"/>
      <c r="K40" s="25"/>
    </row>
    <row r="41" spans="1:11">
      <c r="A41" s="129" t="s">
        <v>770</v>
      </c>
      <c r="B41" s="32" t="s">
        <v>1356</v>
      </c>
      <c r="C41" s="14" t="s">
        <v>1357</v>
      </c>
      <c r="D41" s="33">
        <v>0</v>
      </c>
      <c r="E41" s="24">
        <v>0</v>
      </c>
      <c r="F41" s="25">
        <f t="shared" ref="F41:F62" si="2">D41-E41</f>
        <v>0</v>
      </c>
      <c r="G41" s="134">
        <f t="shared" si="0"/>
        <v>66</v>
      </c>
      <c r="H41" s="135">
        <f t="shared" si="1"/>
        <v>62</v>
      </c>
      <c r="I41" s="24"/>
      <c r="J41" s="5"/>
      <c r="K41" s="25"/>
    </row>
    <row r="42" spans="1:11">
      <c r="A42" s="129" t="s">
        <v>770</v>
      </c>
      <c r="B42" s="32" t="s">
        <v>1358</v>
      </c>
      <c r="C42" s="14" t="s">
        <v>1359</v>
      </c>
      <c r="D42" s="33">
        <v>25</v>
      </c>
      <c r="E42" s="24">
        <v>20</v>
      </c>
      <c r="F42" s="25">
        <f t="shared" si="2"/>
        <v>5</v>
      </c>
      <c r="G42" s="134">
        <f t="shared" si="0"/>
        <v>66</v>
      </c>
      <c r="H42" s="135">
        <f t="shared" si="1"/>
        <v>62</v>
      </c>
      <c r="I42" s="24"/>
      <c r="J42" s="5"/>
      <c r="K42" s="25"/>
    </row>
    <row r="43" spans="1:11">
      <c r="A43" s="129" t="s">
        <v>770</v>
      </c>
      <c r="B43" s="32" t="s">
        <v>1360</v>
      </c>
      <c r="C43" s="14" t="s">
        <v>1361</v>
      </c>
      <c r="D43" s="33">
        <v>125</v>
      </c>
      <c r="E43" s="24">
        <v>91</v>
      </c>
      <c r="F43" s="25">
        <f t="shared" si="2"/>
        <v>34</v>
      </c>
      <c r="G43" s="134">
        <f>MIN((1-$C$27)*$C$22+$C$27*C43,$C$29)</f>
        <v>66</v>
      </c>
      <c r="H43" s="135">
        <f t="shared" si="1"/>
        <v>62</v>
      </c>
      <c r="I43" s="24"/>
      <c r="J43" s="5"/>
      <c r="K43" s="25"/>
    </row>
    <row r="44" spans="1:11">
      <c r="A44" s="129" t="s">
        <v>770</v>
      </c>
      <c r="B44" s="32" t="s">
        <v>1362</v>
      </c>
      <c r="C44" s="14" t="s">
        <v>1363</v>
      </c>
      <c r="D44" s="33">
        <v>336</v>
      </c>
      <c r="E44" s="24">
        <v>236</v>
      </c>
      <c r="F44" s="25">
        <f t="shared" si="2"/>
        <v>100</v>
      </c>
      <c r="G44" s="134">
        <f t="shared" si="0"/>
        <v>66</v>
      </c>
      <c r="H44" s="135">
        <f t="shared" si="1"/>
        <v>62</v>
      </c>
      <c r="I44" s="24"/>
      <c r="J44" s="5"/>
      <c r="K44" s="25"/>
    </row>
    <row r="45" spans="1:11">
      <c r="A45" s="129" t="s">
        <v>770</v>
      </c>
      <c r="B45" s="32" t="s">
        <v>1364</v>
      </c>
      <c r="C45" s="14" t="s">
        <v>1365</v>
      </c>
      <c r="D45" s="33">
        <v>423</v>
      </c>
      <c r="E45" s="24">
        <v>239</v>
      </c>
      <c r="F45" s="25">
        <f t="shared" si="2"/>
        <v>184</v>
      </c>
      <c r="G45" s="134">
        <f t="shared" si="0"/>
        <v>66</v>
      </c>
      <c r="H45" s="135">
        <f t="shared" si="1"/>
        <v>62</v>
      </c>
      <c r="I45" s="24"/>
      <c r="J45" s="5"/>
      <c r="K45" s="25"/>
    </row>
    <row r="46" spans="1:11">
      <c r="A46" s="129" t="s">
        <v>770</v>
      </c>
      <c r="B46" s="32" t="s">
        <v>1366</v>
      </c>
      <c r="C46" s="14" t="s">
        <v>1367</v>
      </c>
      <c r="D46" s="33">
        <v>718</v>
      </c>
      <c r="E46" s="24">
        <v>309</v>
      </c>
      <c r="F46" s="25">
        <f t="shared" si="2"/>
        <v>409</v>
      </c>
      <c r="G46" s="134">
        <f t="shared" si="0"/>
        <v>66</v>
      </c>
      <c r="H46" s="135">
        <f t="shared" si="1"/>
        <v>62</v>
      </c>
      <c r="I46" s="24"/>
      <c r="J46" s="5"/>
      <c r="K46" s="25"/>
    </row>
    <row r="47" spans="1:11">
      <c r="A47" s="129" t="s">
        <v>770</v>
      </c>
      <c r="B47" s="32" t="s">
        <v>1368</v>
      </c>
      <c r="C47" s="14" t="s">
        <v>1369</v>
      </c>
      <c r="D47" s="33">
        <v>1050</v>
      </c>
      <c r="E47" s="24">
        <v>328</v>
      </c>
      <c r="F47" s="25">
        <f t="shared" si="2"/>
        <v>722</v>
      </c>
      <c r="G47" s="134">
        <f t="shared" si="0"/>
        <v>66</v>
      </c>
      <c r="H47" s="135">
        <f t="shared" si="1"/>
        <v>62</v>
      </c>
      <c r="I47" s="24"/>
      <c r="J47" s="5"/>
      <c r="K47" s="25"/>
    </row>
    <row r="48" spans="1:11">
      <c r="A48" s="129" t="s">
        <v>770</v>
      </c>
      <c r="B48" s="32" t="s">
        <v>1370</v>
      </c>
      <c r="C48" s="14" t="s">
        <v>1371</v>
      </c>
      <c r="D48" s="33">
        <v>793</v>
      </c>
      <c r="E48" s="24">
        <v>259</v>
      </c>
      <c r="F48" s="25">
        <f t="shared" si="2"/>
        <v>534</v>
      </c>
      <c r="G48" s="134">
        <f t="shared" ref="G48:G62" si="3">MIN((1-$C$27)*$C$22+$C$27*C48,$C$29)</f>
        <v>66</v>
      </c>
      <c r="H48" s="135">
        <f t="shared" ref="H48:H62" si="4">MIN((1-$C$28)*$C$22+$C$28*C48,$C$30)</f>
        <v>62</v>
      </c>
      <c r="I48" s="136">
        <f t="shared" ref="I48:I62" si="5">$C$25*$C$20*($C$29-G48)*E48/($C$21*$C$23)</f>
        <v>0</v>
      </c>
      <c r="J48" s="12">
        <f t="shared" ref="J48:J62" si="6">$C$26*$C$20*($C$30-H48)*E48/($C$21*$C$23)</f>
        <v>0</v>
      </c>
      <c r="K48" s="140">
        <f t="shared" ref="K48:K62" si="7">$C$25*$C$20*($C$29-G48)*E48/($C$21*$C$24)</f>
        <v>0</v>
      </c>
    </row>
    <row r="49" spans="1:11">
      <c r="A49" s="129" t="s">
        <v>565</v>
      </c>
      <c r="B49" s="32" t="s">
        <v>1372</v>
      </c>
      <c r="C49" s="14" t="s">
        <v>1373</v>
      </c>
      <c r="D49" s="33">
        <v>646</v>
      </c>
      <c r="E49" s="24">
        <v>236</v>
      </c>
      <c r="F49" s="25">
        <f t="shared" si="2"/>
        <v>410</v>
      </c>
      <c r="G49" s="134">
        <f t="shared" si="3"/>
        <v>66</v>
      </c>
      <c r="H49" s="135">
        <f t="shared" si="4"/>
        <v>62</v>
      </c>
      <c r="I49" s="136">
        <f t="shared" si="5"/>
        <v>0</v>
      </c>
      <c r="J49" s="12">
        <f t="shared" si="6"/>
        <v>0</v>
      </c>
      <c r="K49" s="140">
        <f t="shared" si="7"/>
        <v>0</v>
      </c>
    </row>
    <row r="50" spans="1:11">
      <c r="A50" s="129" t="s">
        <v>565</v>
      </c>
      <c r="B50" s="32" t="s">
        <v>1374</v>
      </c>
      <c r="C50" s="14" t="s">
        <v>1375</v>
      </c>
      <c r="D50" s="33">
        <v>459</v>
      </c>
      <c r="E50" s="24">
        <v>182</v>
      </c>
      <c r="F50" s="25">
        <f t="shared" si="2"/>
        <v>277</v>
      </c>
      <c r="G50" s="134">
        <f t="shared" si="3"/>
        <v>66</v>
      </c>
      <c r="H50" s="135">
        <f t="shared" si="4"/>
        <v>62</v>
      </c>
      <c r="I50" s="136">
        <f t="shared" si="5"/>
        <v>0</v>
      </c>
      <c r="J50" s="12">
        <f t="shared" si="6"/>
        <v>0</v>
      </c>
      <c r="K50" s="140">
        <f t="shared" si="7"/>
        <v>0</v>
      </c>
    </row>
    <row r="51" spans="1:11">
      <c r="A51" s="129" t="s">
        <v>565</v>
      </c>
      <c r="B51" s="32" t="s">
        <v>1376</v>
      </c>
      <c r="C51" s="14" t="s">
        <v>1377</v>
      </c>
      <c r="D51" s="33">
        <v>648</v>
      </c>
      <c r="E51" s="24">
        <v>212</v>
      </c>
      <c r="F51" s="25">
        <f t="shared" si="2"/>
        <v>436</v>
      </c>
      <c r="G51" s="134">
        <f t="shared" si="3"/>
        <v>65.8</v>
      </c>
      <c r="H51" s="135">
        <f t="shared" si="4"/>
        <v>62</v>
      </c>
      <c r="I51" s="136">
        <f t="shared" si="5"/>
        <v>5.0259512195122674E-2</v>
      </c>
      <c r="J51" s="12">
        <f t="shared" si="6"/>
        <v>0</v>
      </c>
      <c r="K51" s="140">
        <f t="shared" si="7"/>
        <v>4.4796521739131075E-2</v>
      </c>
    </row>
    <row r="52" spans="1:11">
      <c r="A52" s="129" t="s">
        <v>565</v>
      </c>
      <c r="B52" s="32" t="s">
        <v>1378</v>
      </c>
      <c r="C52" s="14" t="s">
        <v>1379</v>
      </c>
      <c r="D52" s="33">
        <v>857</v>
      </c>
      <c r="E52" s="24">
        <v>275</v>
      </c>
      <c r="F52" s="25">
        <f t="shared" si="2"/>
        <v>582</v>
      </c>
      <c r="G52" s="134">
        <f t="shared" si="3"/>
        <v>65.05</v>
      </c>
      <c r="H52" s="135">
        <f t="shared" si="4"/>
        <v>62</v>
      </c>
      <c r="I52" s="136">
        <f t="shared" si="5"/>
        <v>0.30967682926829365</v>
      </c>
      <c r="J52" s="12">
        <f t="shared" si="6"/>
        <v>0</v>
      </c>
      <c r="K52" s="140">
        <f t="shared" si="7"/>
        <v>0.27601630434782698</v>
      </c>
    </row>
    <row r="53" spans="1:11">
      <c r="A53" s="129" t="s">
        <v>565</v>
      </c>
      <c r="B53" s="32" t="s">
        <v>1380</v>
      </c>
      <c r="C53" s="14" t="s">
        <v>1381</v>
      </c>
      <c r="D53" s="33">
        <v>787</v>
      </c>
      <c r="E53" s="24">
        <v>287</v>
      </c>
      <c r="F53" s="25">
        <f t="shared" si="2"/>
        <v>500</v>
      </c>
      <c r="G53" s="134">
        <f t="shared" si="3"/>
        <v>64.3</v>
      </c>
      <c r="H53" s="135">
        <f t="shared" si="4"/>
        <v>62</v>
      </c>
      <c r="I53" s="136">
        <f t="shared" si="5"/>
        <v>0.57834000000000108</v>
      </c>
      <c r="J53" s="12">
        <f t="shared" si="6"/>
        <v>0</v>
      </c>
      <c r="K53" s="140">
        <f t="shared" si="7"/>
        <v>0.51547695652174008</v>
      </c>
    </row>
    <row r="54" spans="1:11">
      <c r="A54" s="129" t="s">
        <v>565</v>
      </c>
      <c r="B54" s="32" t="s">
        <v>1382</v>
      </c>
      <c r="C54" s="14" t="s">
        <v>1383</v>
      </c>
      <c r="D54" s="33">
        <v>564</v>
      </c>
      <c r="E54" s="24">
        <v>198</v>
      </c>
      <c r="F54" s="25">
        <f t="shared" si="2"/>
        <v>366</v>
      </c>
      <c r="G54" s="134">
        <f t="shared" si="3"/>
        <v>63.55</v>
      </c>
      <c r="H54" s="135">
        <f t="shared" si="4"/>
        <v>62</v>
      </c>
      <c r="I54" s="136">
        <f t="shared" si="5"/>
        <v>0.57502097560975685</v>
      </c>
      <c r="J54" s="12">
        <f t="shared" si="6"/>
        <v>0</v>
      </c>
      <c r="K54" s="140">
        <f t="shared" si="7"/>
        <v>0.51251869565217456</v>
      </c>
    </row>
    <row r="55" spans="1:11">
      <c r="A55" s="129" t="s">
        <v>565</v>
      </c>
      <c r="B55" s="32" t="s">
        <v>1384</v>
      </c>
      <c r="C55" s="14" t="s">
        <v>1385</v>
      </c>
      <c r="D55" s="33">
        <v>527</v>
      </c>
      <c r="E55" s="24">
        <v>176</v>
      </c>
      <c r="F55" s="25">
        <f t="shared" si="2"/>
        <v>351</v>
      </c>
      <c r="G55" s="134">
        <f t="shared" si="3"/>
        <v>62.8</v>
      </c>
      <c r="H55" s="135">
        <f t="shared" si="4"/>
        <v>62</v>
      </c>
      <c r="I55" s="136">
        <f t="shared" si="5"/>
        <v>0.66759804878048845</v>
      </c>
      <c r="J55" s="12">
        <f t="shared" si="6"/>
        <v>0</v>
      </c>
      <c r="K55" s="140">
        <f t="shared" si="7"/>
        <v>0.59503304347826147</v>
      </c>
    </row>
    <row r="56" spans="1:11">
      <c r="A56" s="129" t="s">
        <v>565</v>
      </c>
      <c r="B56" s="32" t="s">
        <v>1386</v>
      </c>
      <c r="C56" s="14" t="s">
        <v>1387</v>
      </c>
      <c r="D56" s="33">
        <v>330</v>
      </c>
      <c r="E56" s="24">
        <v>152</v>
      </c>
      <c r="F56" s="25">
        <f t="shared" si="2"/>
        <v>178</v>
      </c>
      <c r="G56" s="134">
        <f t="shared" si="3"/>
        <v>62.05</v>
      </c>
      <c r="H56" s="135">
        <f t="shared" si="4"/>
        <v>62</v>
      </c>
      <c r="I56" s="136">
        <f t="shared" si="5"/>
        <v>0.71169365853658595</v>
      </c>
      <c r="J56" s="12">
        <f t="shared" si="6"/>
        <v>0</v>
      </c>
      <c r="K56" s="140">
        <f t="shared" si="7"/>
        <v>0.63433565217391352</v>
      </c>
    </row>
    <row r="57" spans="1:11">
      <c r="A57" s="129" t="s">
        <v>565</v>
      </c>
      <c r="B57" s="32" t="s">
        <v>1388</v>
      </c>
      <c r="C57" s="14" t="s">
        <v>1389</v>
      </c>
      <c r="D57" s="33">
        <v>263</v>
      </c>
      <c r="E57" s="24">
        <v>88</v>
      </c>
      <c r="F57" s="25">
        <f t="shared" si="2"/>
        <v>175</v>
      </c>
      <c r="G57" s="134">
        <f t="shared" si="3"/>
        <v>61.3</v>
      </c>
      <c r="H57" s="135">
        <f t="shared" si="4"/>
        <v>62</v>
      </c>
      <c r="I57" s="136">
        <f t="shared" si="5"/>
        <v>0.49026731707317112</v>
      </c>
      <c r="J57" s="12">
        <f t="shared" si="6"/>
        <v>0</v>
      </c>
      <c r="K57" s="140">
        <f t="shared" si="7"/>
        <v>0.43697739130434815</v>
      </c>
    </row>
    <row r="58" spans="1:11">
      <c r="A58" s="129" t="s">
        <v>565</v>
      </c>
      <c r="B58" s="32" t="s">
        <v>1390</v>
      </c>
      <c r="C58" s="14" t="s">
        <v>1391</v>
      </c>
      <c r="D58" s="33">
        <v>126</v>
      </c>
      <c r="E58" s="24">
        <v>59</v>
      </c>
      <c r="F58" s="25">
        <f t="shared" si="2"/>
        <v>67</v>
      </c>
      <c r="G58" s="134">
        <f t="shared" si="3"/>
        <v>60.55</v>
      </c>
      <c r="H58" s="135">
        <f t="shared" si="4"/>
        <v>62</v>
      </c>
      <c r="I58" s="136">
        <f t="shared" si="5"/>
        <v>0.38115439024390269</v>
      </c>
      <c r="J58" s="12">
        <f t="shared" si="6"/>
        <v>0</v>
      </c>
      <c r="K58" s="140">
        <f t="shared" si="7"/>
        <v>0.33972456521739153</v>
      </c>
    </row>
    <row r="59" spans="1:11">
      <c r="A59" s="129" t="s">
        <v>565</v>
      </c>
      <c r="B59" s="32" t="s">
        <v>1392</v>
      </c>
      <c r="C59" s="14" t="s">
        <v>1393</v>
      </c>
      <c r="D59" s="33">
        <v>55</v>
      </c>
      <c r="E59" s="24">
        <v>25</v>
      </c>
      <c r="F59" s="25">
        <f t="shared" si="2"/>
        <v>30</v>
      </c>
      <c r="G59" s="134">
        <f t="shared" si="3"/>
        <v>59.8</v>
      </c>
      <c r="H59" s="135">
        <f t="shared" si="4"/>
        <v>62</v>
      </c>
      <c r="I59" s="136">
        <f t="shared" si="5"/>
        <v>0.18373170731707328</v>
      </c>
      <c r="J59" s="12">
        <f t="shared" si="6"/>
        <v>0</v>
      </c>
      <c r="K59" s="140">
        <f t="shared" si="7"/>
        <v>0.16376086956521749</v>
      </c>
    </row>
    <row r="60" spans="1:11">
      <c r="A60" s="129" t="s">
        <v>565</v>
      </c>
      <c r="B60" s="32" t="s">
        <v>1394</v>
      </c>
      <c r="C60" s="14" t="s">
        <v>1395</v>
      </c>
      <c r="D60" s="33">
        <v>16</v>
      </c>
      <c r="E60" s="24">
        <v>5</v>
      </c>
      <c r="F60" s="25">
        <f t="shared" si="2"/>
        <v>11</v>
      </c>
      <c r="G60" s="134">
        <f t="shared" si="3"/>
        <v>59.05</v>
      </c>
      <c r="H60" s="135">
        <f t="shared" si="4"/>
        <v>62</v>
      </c>
      <c r="I60" s="136">
        <f t="shared" si="5"/>
        <v>4.1191463414634165E-2</v>
      </c>
      <c r="J60" s="12">
        <f t="shared" si="6"/>
        <v>0</v>
      </c>
      <c r="K60" s="140">
        <f t="shared" si="7"/>
        <v>3.6714130434782624E-2</v>
      </c>
    </row>
    <row r="61" spans="1:11">
      <c r="A61" s="129" t="s">
        <v>565</v>
      </c>
      <c r="B61" s="32" t="s">
        <v>1396</v>
      </c>
      <c r="C61" s="14" t="s">
        <v>1397</v>
      </c>
      <c r="D61" s="33">
        <v>9</v>
      </c>
      <c r="E61" s="24">
        <v>3</v>
      </c>
      <c r="F61" s="25">
        <f t="shared" si="2"/>
        <v>6</v>
      </c>
      <c r="G61" s="134">
        <f t="shared" si="3"/>
        <v>58.3</v>
      </c>
      <c r="H61" s="135">
        <f t="shared" si="4"/>
        <v>62</v>
      </c>
      <c r="I61" s="136">
        <f t="shared" si="5"/>
        <v>2.7381951219512205E-2</v>
      </c>
      <c r="J61" s="12">
        <f t="shared" si="6"/>
        <v>0</v>
      </c>
      <c r="K61" s="140">
        <f t="shared" si="7"/>
        <v>2.4405652173913054E-2</v>
      </c>
    </row>
    <row r="62" spans="1:11">
      <c r="A62" s="129" t="s">
        <v>565</v>
      </c>
      <c r="B62" s="32" t="s">
        <v>1398</v>
      </c>
      <c r="C62" s="14" t="s">
        <v>1399</v>
      </c>
      <c r="D62" s="33">
        <v>3</v>
      </c>
      <c r="E62" s="24">
        <f>0</f>
        <v>0</v>
      </c>
      <c r="F62" s="25">
        <f t="shared" si="2"/>
        <v>3</v>
      </c>
      <c r="G62" s="134">
        <f t="shared" si="3"/>
        <v>57.55</v>
      </c>
      <c r="H62" s="135">
        <f t="shared" si="4"/>
        <v>62</v>
      </c>
      <c r="I62" s="136">
        <f t="shared" si="5"/>
        <v>0</v>
      </c>
      <c r="J62" s="12">
        <f t="shared" si="6"/>
        <v>0</v>
      </c>
      <c r="K62" s="140">
        <f t="shared" si="7"/>
        <v>0</v>
      </c>
    </row>
    <row r="63" spans="1:11" ht="15" thickBot="1">
      <c r="A63" s="130"/>
      <c r="B63" s="34" t="s">
        <v>1400</v>
      </c>
      <c r="C63" s="35"/>
      <c r="D63" s="36">
        <f>SUM(D40:D62)</f>
        <v>8760</v>
      </c>
      <c r="E63" s="125">
        <f>SUM(E40:E62)</f>
        <v>3380</v>
      </c>
      <c r="F63" s="126">
        <f>SUM(F40:F62)</f>
        <v>5380</v>
      </c>
      <c r="G63" s="37"/>
      <c r="H63" s="36"/>
      <c r="I63" s="137">
        <f>SUM(I48:I62)</f>
        <v>4.0163158536585417</v>
      </c>
      <c r="J63" s="80">
        <f>SUM(J48:J62)</f>
        <v>0</v>
      </c>
      <c r="K63" s="138">
        <f>SUM(K48:K62)</f>
        <v>3.5797597826087002</v>
      </c>
    </row>
  </sheetData>
  <sheetProtection algorithmName="SHA-512" hashValue="GUXzs+I7VMMXAzXBz59peKiK3xA9Lt/E5FTC/30vRwux5+CzwViBtDpF0GYAo1tCpLjgO5J4K2Z7k3ZWjBsCXA==" saltValue="gPJuKZP4FuU3Rtu6uoxkZw==" spinCount="100000" sheet="1" objects="1" scenarios="1"/>
  <mergeCells count="11">
    <mergeCell ref="E38:F38"/>
    <mergeCell ref="C1:M1"/>
    <mergeCell ref="C2:M2"/>
    <mergeCell ref="C3:M3"/>
    <mergeCell ref="C8:M8"/>
    <mergeCell ref="C4:M4"/>
    <mergeCell ref="C5:M5"/>
    <mergeCell ref="C6:M6"/>
    <mergeCell ref="I38:K38"/>
    <mergeCell ref="B38:D38"/>
    <mergeCell ref="C7:M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541F6-A7DE-4906-B4F9-B1829418E074}">
  <sheetPr codeName="Sheet15">
    <tabColor theme="9" tint="-0.249977111117893"/>
  </sheetPr>
  <dimension ref="A1:M48"/>
  <sheetViews>
    <sheetView zoomScale="85" zoomScaleNormal="85" workbookViewId="0">
      <selection activeCell="M24" sqref="M24"/>
    </sheetView>
  </sheetViews>
  <sheetFormatPr defaultRowHeight="14.45"/>
  <cols>
    <col min="1" max="1" width="30.5703125" customWidth="1"/>
    <col min="2" max="2" width="46.5703125" bestFit="1" customWidth="1"/>
    <col min="11" max="11" width="11.7109375" customWidth="1"/>
  </cols>
  <sheetData>
    <row r="1" spans="1:13">
      <c r="A1" s="3" t="s">
        <v>791</v>
      </c>
      <c r="B1" s="3" t="s">
        <v>854</v>
      </c>
      <c r="C1" s="1851" t="s">
        <v>1265</v>
      </c>
      <c r="D1" s="1851"/>
      <c r="E1" s="1851"/>
      <c r="F1" s="1851"/>
      <c r="G1" s="1851"/>
      <c r="H1" s="1851"/>
      <c r="I1" s="1851"/>
      <c r="J1" s="1851"/>
      <c r="K1" s="1851"/>
      <c r="L1" s="1851"/>
      <c r="M1" s="1851"/>
    </row>
    <row r="2" spans="1:13" ht="48" customHeight="1">
      <c r="A2" s="27" t="s">
        <v>1266</v>
      </c>
      <c r="B2" s="114" t="s">
        <v>489</v>
      </c>
      <c r="C2" s="1853" t="s">
        <v>1564</v>
      </c>
      <c r="D2" s="1853"/>
      <c r="E2" s="1853"/>
      <c r="F2" s="1853"/>
      <c r="G2" s="1853"/>
      <c r="H2" s="1853"/>
      <c r="I2" s="1853"/>
      <c r="J2" s="1853"/>
      <c r="K2" s="1853"/>
      <c r="L2" s="1853"/>
      <c r="M2" s="1869"/>
    </row>
    <row r="3" spans="1:13" ht="32.25" customHeight="1">
      <c r="A3" s="28"/>
      <c r="C3" s="1854" t="s">
        <v>1565</v>
      </c>
      <c r="D3" s="1854"/>
      <c r="E3" s="1854"/>
      <c r="F3" s="1854"/>
      <c r="G3" s="1854"/>
      <c r="H3" s="1854"/>
      <c r="I3" s="1854"/>
      <c r="J3" s="1854"/>
      <c r="K3" s="1854"/>
      <c r="L3" s="1854"/>
      <c r="M3" s="1871"/>
    </row>
    <row r="4" spans="1:13" ht="62.25" customHeight="1">
      <c r="A4" s="28"/>
      <c r="B4" s="233"/>
      <c r="C4" s="1877" t="s">
        <v>1566</v>
      </c>
      <c r="D4" s="1877"/>
      <c r="E4" s="1877"/>
      <c r="F4" s="1877"/>
      <c r="G4" s="1877"/>
      <c r="H4" s="1877"/>
      <c r="I4" s="1877"/>
      <c r="J4" s="1877"/>
      <c r="K4" s="1877"/>
      <c r="L4" s="1877"/>
      <c r="M4" s="1878"/>
    </row>
    <row r="5" spans="1:13" ht="34.5" customHeight="1">
      <c r="A5" s="28"/>
      <c r="C5" s="1877" t="s">
        <v>1567</v>
      </c>
      <c r="D5" s="1877"/>
      <c r="E5" s="1877"/>
      <c r="F5" s="1877"/>
      <c r="G5" s="1877"/>
      <c r="H5" s="1877"/>
      <c r="I5" s="1877"/>
      <c r="J5" s="1877"/>
      <c r="K5" s="1877"/>
      <c r="L5" s="1877"/>
      <c r="M5" s="1878"/>
    </row>
    <row r="6" spans="1:13" ht="33.6" customHeight="1">
      <c r="A6" s="29"/>
      <c r="B6" s="19"/>
      <c r="C6" s="1852" t="s">
        <v>1568</v>
      </c>
      <c r="D6" s="1852"/>
      <c r="E6" s="1852"/>
      <c r="F6" s="1852"/>
      <c r="G6" s="1852"/>
      <c r="H6" s="1852"/>
      <c r="I6" s="1852"/>
      <c r="J6" s="1852"/>
      <c r="K6" s="1852"/>
      <c r="L6" s="1852"/>
      <c r="M6" s="1870"/>
    </row>
    <row r="7" spans="1:13" ht="19.5" customHeight="1">
      <c r="A7" s="21" t="s">
        <v>1268</v>
      </c>
      <c r="B7" s="113" t="s">
        <v>421</v>
      </c>
      <c r="C7" s="1879"/>
      <c r="D7" s="1879"/>
      <c r="E7" s="1879"/>
      <c r="F7" s="1879"/>
      <c r="G7" s="1879"/>
      <c r="H7" s="1879"/>
      <c r="I7" s="1879"/>
      <c r="J7" s="1879"/>
      <c r="K7" s="1879"/>
      <c r="L7" s="1879"/>
      <c r="M7" s="1880"/>
    </row>
    <row r="8" spans="1:13" ht="33.75" customHeight="1">
      <c r="A8" s="21" t="s">
        <v>1273</v>
      </c>
      <c r="B8" s="113" t="s">
        <v>421</v>
      </c>
      <c r="C8" s="1850" t="s">
        <v>1569</v>
      </c>
      <c r="D8" s="1850"/>
      <c r="E8" s="1850"/>
      <c r="F8" s="1850"/>
      <c r="G8" s="1850"/>
      <c r="H8" s="1850"/>
      <c r="I8" s="1850"/>
      <c r="J8" s="1850"/>
      <c r="K8" s="1850"/>
      <c r="L8" s="1850"/>
      <c r="M8" s="1868"/>
    </row>
    <row r="10" spans="1:13">
      <c r="A10" s="3" t="s">
        <v>1276</v>
      </c>
    </row>
    <row r="11" spans="1:13">
      <c r="A11" t="s">
        <v>1409</v>
      </c>
      <c r="B11" s="11" t="s">
        <v>1278</v>
      </c>
      <c r="C11" t="s">
        <v>1570</v>
      </c>
    </row>
    <row r="13" spans="1:13">
      <c r="A13" s="3" t="s">
        <v>1288</v>
      </c>
    </row>
    <row r="14" spans="1:13">
      <c r="A14" s="27" t="s">
        <v>770</v>
      </c>
      <c r="B14" s="5" t="s">
        <v>1517</v>
      </c>
      <c r="C14" s="42">
        <f>Assumptions!D4</f>
        <v>0.81750329214143558</v>
      </c>
      <c r="D14" s="5" t="s">
        <v>876</v>
      </c>
    </row>
    <row r="15" spans="1:13">
      <c r="A15" s="28"/>
      <c r="B15" s="5" t="s">
        <v>1571</v>
      </c>
      <c r="C15" s="193">
        <v>0.46</v>
      </c>
      <c r="D15" s="5"/>
    </row>
    <row r="16" spans="1:13">
      <c r="A16" s="28"/>
      <c r="B16" s="5" t="s">
        <v>1572</v>
      </c>
      <c r="C16" s="77">
        <v>0.86</v>
      </c>
      <c r="D16" s="5"/>
    </row>
    <row r="17" spans="1:11">
      <c r="A17" s="29"/>
      <c r="B17" s="5" t="s">
        <v>1573</v>
      </c>
      <c r="C17" s="77">
        <f>Assumptions!D75</f>
        <v>0.5</v>
      </c>
      <c r="D17" s="5"/>
    </row>
    <row r="19" spans="1:11">
      <c r="A19" s="3" t="s">
        <v>898</v>
      </c>
    </row>
    <row r="20" spans="1:11">
      <c r="A20" s="6" t="s">
        <v>692</v>
      </c>
      <c r="B20" s="260">
        <f>C14*C16*C17*C15</f>
        <v>0.16170215118557596</v>
      </c>
      <c r="C20" s="6" t="s">
        <v>1326</v>
      </c>
    </row>
    <row r="21" spans="1:11">
      <c r="B21" s="206"/>
    </row>
    <row r="23" spans="1:11" ht="14.45" customHeight="1">
      <c r="A23" s="127"/>
      <c r="B23" s="1858" t="s">
        <v>1333</v>
      </c>
      <c r="C23" s="1859"/>
      <c r="D23" s="1860"/>
      <c r="E23" s="1858" t="s">
        <v>689</v>
      </c>
      <c r="F23" s="1860"/>
      <c r="G23" s="131" t="s">
        <v>1561</v>
      </c>
      <c r="H23" s="132"/>
      <c r="I23" t="s">
        <v>1574</v>
      </c>
    </row>
    <row r="24" spans="1:11" ht="60.6">
      <c r="A24" s="128" t="s">
        <v>1337</v>
      </c>
      <c r="B24" s="30" t="s">
        <v>1338</v>
      </c>
      <c r="C24" s="15" t="s">
        <v>1339</v>
      </c>
      <c r="D24" s="31" t="s">
        <v>1340</v>
      </c>
      <c r="E24" s="30" t="s">
        <v>1341</v>
      </c>
      <c r="F24" s="31" t="s">
        <v>1342</v>
      </c>
      <c r="G24" s="133" t="s">
        <v>880</v>
      </c>
      <c r="H24" s="48" t="s">
        <v>881</v>
      </c>
      <c r="I24" t="s">
        <v>1309</v>
      </c>
      <c r="J24">
        <v>70</v>
      </c>
      <c r="K24" t="s">
        <v>1575</v>
      </c>
    </row>
    <row r="25" spans="1:11">
      <c r="A25" s="129" t="s">
        <v>770</v>
      </c>
      <c r="B25" s="32" t="s">
        <v>1354</v>
      </c>
      <c r="C25" s="14" t="s">
        <v>1355</v>
      </c>
      <c r="D25" s="33">
        <v>0</v>
      </c>
      <c r="E25" s="24">
        <v>0</v>
      </c>
      <c r="F25" s="25">
        <v>0</v>
      </c>
      <c r="G25" s="134">
        <v>66</v>
      </c>
      <c r="H25" s="135">
        <v>62</v>
      </c>
      <c r="I25" t="s">
        <v>1576</v>
      </c>
      <c r="J25">
        <v>55</v>
      </c>
      <c r="K25" t="s">
        <v>1575</v>
      </c>
    </row>
    <row r="26" spans="1:11">
      <c r="A26" s="129" t="s">
        <v>770</v>
      </c>
      <c r="B26" s="32" t="s">
        <v>1356</v>
      </c>
      <c r="C26" s="14" t="s">
        <v>1357</v>
      </c>
      <c r="D26" s="33">
        <v>0</v>
      </c>
      <c r="E26" s="24">
        <v>0</v>
      </c>
      <c r="F26" s="25">
        <v>0</v>
      </c>
      <c r="G26" s="134">
        <v>66</v>
      </c>
      <c r="H26" s="135">
        <v>62</v>
      </c>
    </row>
    <row r="27" spans="1:11">
      <c r="A27" s="129" t="s">
        <v>770</v>
      </c>
      <c r="B27" s="32" t="s">
        <v>1358</v>
      </c>
      <c r="C27" s="14" t="s">
        <v>1359</v>
      </c>
      <c r="D27" s="33">
        <v>25</v>
      </c>
      <c r="E27" s="24">
        <v>20</v>
      </c>
      <c r="F27" s="25">
        <v>5</v>
      </c>
      <c r="G27" s="134">
        <v>66</v>
      </c>
      <c r="H27" s="135">
        <v>62</v>
      </c>
    </row>
    <row r="28" spans="1:11">
      <c r="A28" s="129" t="s">
        <v>770</v>
      </c>
      <c r="B28" s="32" t="s">
        <v>1360</v>
      </c>
      <c r="C28" s="14" t="s">
        <v>1361</v>
      </c>
      <c r="D28" s="33">
        <v>125</v>
      </c>
      <c r="E28" s="24">
        <v>91</v>
      </c>
      <c r="F28" s="25">
        <v>34</v>
      </c>
      <c r="G28" s="134">
        <v>66</v>
      </c>
      <c r="H28" s="135">
        <v>62</v>
      </c>
    </row>
    <row r="29" spans="1:11">
      <c r="A29" s="129" t="s">
        <v>770</v>
      </c>
      <c r="B29" s="32" t="s">
        <v>1362</v>
      </c>
      <c r="C29" s="14" t="s">
        <v>1363</v>
      </c>
      <c r="D29" s="33">
        <v>336</v>
      </c>
      <c r="E29" s="24">
        <v>236</v>
      </c>
      <c r="F29" s="25">
        <v>100</v>
      </c>
      <c r="G29" s="134">
        <v>66</v>
      </c>
      <c r="H29" s="135">
        <v>62</v>
      </c>
    </row>
    <row r="30" spans="1:11">
      <c r="A30" s="129" t="s">
        <v>770</v>
      </c>
      <c r="B30" s="32" t="s">
        <v>1364</v>
      </c>
      <c r="C30" s="14" t="s">
        <v>1365</v>
      </c>
      <c r="D30" s="194">
        <v>423</v>
      </c>
      <c r="E30" s="24">
        <v>239</v>
      </c>
      <c r="F30" s="25">
        <v>184</v>
      </c>
      <c r="G30" s="134">
        <v>66</v>
      </c>
      <c r="H30" s="135">
        <v>62</v>
      </c>
    </row>
    <row r="31" spans="1:11">
      <c r="A31" s="129" t="s">
        <v>770</v>
      </c>
      <c r="B31" s="32" t="s">
        <v>1366</v>
      </c>
      <c r="C31" s="14" t="s">
        <v>1367</v>
      </c>
      <c r="D31" s="194">
        <v>718</v>
      </c>
      <c r="E31" s="24">
        <v>309</v>
      </c>
      <c r="F31" s="25">
        <v>409</v>
      </c>
      <c r="G31" s="134">
        <v>66</v>
      </c>
      <c r="H31" s="135">
        <v>62</v>
      </c>
    </row>
    <row r="32" spans="1:11">
      <c r="A32" s="129" t="s">
        <v>770</v>
      </c>
      <c r="B32" s="32" t="s">
        <v>1368</v>
      </c>
      <c r="C32" s="14" t="s">
        <v>1369</v>
      </c>
      <c r="D32" s="194">
        <v>1050</v>
      </c>
      <c r="E32" s="24">
        <v>328</v>
      </c>
      <c r="F32" s="25">
        <v>722</v>
      </c>
      <c r="G32" s="134">
        <v>66</v>
      </c>
      <c r="H32" s="135">
        <v>62</v>
      </c>
    </row>
    <row r="33" spans="1:11">
      <c r="A33" s="129" t="s">
        <v>770</v>
      </c>
      <c r="B33" s="32" t="s">
        <v>1370</v>
      </c>
      <c r="C33" s="14" t="s">
        <v>1371</v>
      </c>
      <c r="D33" s="194">
        <v>793</v>
      </c>
      <c r="E33" s="24">
        <v>259</v>
      </c>
      <c r="F33" s="25">
        <v>534</v>
      </c>
      <c r="G33" s="134">
        <v>66</v>
      </c>
      <c r="H33" s="135">
        <v>62</v>
      </c>
    </row>
    <row r="34" spans="1:11">
      <c r="A34" s="129" t="s">
        <v>565</v>
      </c>
      <c r="B34" s="32" t="s">
        <v>1372</v>
      </c>
      <c r="C34" s="14" t="s">
        <v>1373</v>
      </c>
      <c r="D34" s="195">
        <v>646</v>
      </c>
      <c r="E34" s="24">
        <v>236</v>
      </c>
      <c r="F34" s="25">
        <v>410</v>
      </c>
      <c r="G34" s="134">
        <v>66</v>
      </c>
      <c r="H34" s="135">
        <v>62</v>
      </c>
    </row>
    <row r="35" spans="1:11">
      <c r="A35" s="129" t="s">
        <v>565</v>
      </c>
      <c r="B35" s="32" t="s">
        <v>1374</v>
      </c>
      <c r="C35" s="14" t="s">
        <v>1375</v>
      </c>
      <c r="D35" s="195">
        <v>459</v>
      </c>
      <c r="E35" s="24">
        <v>182</v>
      </c>
      <c r="F35" s="25">
        <v>277</v>
      </c>
      <c r="G35" s="134">
        <v>66</v>
      </c>
      <c r="H35" s="135">
        <v>62</v>
      </c>
      <c r="J35" s="196">
        <f>2610/5594</f>
        <v>0.46657132642116556</v>
      </c>
      <c r="K35" t="s">
        <v>1577</v>
      </c>
    </row>
    <row r="36" spans="1:11">
      <c r="A36" s="129" t="s">
        <v>565</v>
      </c>
      <c r="B36" s="32" t="s">
        <v>1376</v>
      </c>
      <c r="C36" s="14" t="s">
        <v>1377</v>
      </c>
      <c r="D36" s="195">
        <v>648</v>
      </c>
      <c r="E36" s="24">
        <v>212</v>
      </c>
      <c r="F36" s="25">
        <v>436</v>
      </c>
      <c r="G36" s="134">
        <v>65.8</v>
      </c>
      <c r="H36" s="135">
        <v>61.6</v>
      </c>
      <c r="K36" t="s">
        <v>1578</v>
      </c>
    </row>
    <row r="37" spans="1:11">
      <c r="A37" s="129" t="s">
        <v>565</v>
      </c>
      <c r="B37" s="32" t="s">
        <v>1378</v>
      </c>
      <c r="C37" s="14" t="s">
        <v>1379</v>
      </c>
      <c r="D37" s="195">
        <v>857</v>
      </c>
      <c r="E37" s="24">
        <v>275</v>
      </c>
      <c r="F37" s="25">
        <v>582</v>
      </c>
      <c r="G37" s="134">
        <v>65.05</v>
      </c>
      <c r="H37" s="135">
        <v>60.1</v>
      </c>
    </row>
    <row r="38" spans="1:11">
      <c r="A38" s="129" t="s">
        <v>565</v>
      </c>
      <c r="B38" s="32" t="s">
        <v>1380</v>
      </c>
      <c r="C38" s="14" t="s">
        <v>1381</v>
      </c>
      <c r="D38" s="33">
        <v>787</v>
      </c>
      <c r="E38" s="24">
        <v>287</v>
      </c>
      <c r="F38" s="25">
        <v>500</v>
      </c>
      <c r="G38" s="134">
        <v>64.3</v>
      </c>
      <c r="H38" s="135">
        <v>58.6</v>
      </c>
    </row>
    <row r="39" spans="1:11">
      <c r="A39" s="129" t="s">
        <v>565</v>
      </c>
      <c r="B39" s="32" t="s">
        <v>1382</v>
      </c>
      <c r="C39" s="14" t="s">
        <v>1383</v>
      </c>
      <c r="D39" s="33">
        <v>564</v>
      </c>
      <c r="E39" s="24">
        <v>198</v>
      </c>
      <c r="F39" s="25">
        <v>366</v>
      </c>
      <c r="G39" s="134">
        <v>63.55</v>
      </c>
      <c r="H39" s="135">
        <v>57.1</v>
      </c>
    </row>
    <row r="40" spans="1:11">
      <c r="A40" s="129" t="s">
        <v>565</v>
      </c>
      <c r="B40" s="32" t="s">
        <v>1384</v>
      </c>
      <c r="C40" s="14" t="s">
        <v>1385</v>
      </c>
      <c r="D40" s="33">
        <v>527</v>
      </c>
      <c r="E40" s="24">
        <v>176</v>
      </c>
      <c r="F40" s="25">
        <v>351</v>
      </c>
      <c r="G40" s="134">
        <v>62.8</v>
      </c>
      <c r="H40" s="135">
        <v>55.6</v>
      </c>
    </row>
    <row r="41" spans="1:11">
      <c r="A41" s="129" t="s">
        <v>565</v>
      </c>
      <c r="B41" s="32" t="s">
        <v>1386</v>
      </c>
      <c r="C41" s="14" t="s">
        <v>1387</v>
      </c>
      <c r="D41" s="33">
        <v>330</v>
      </c>
      <c r="E41" s="24">
        <v>152</v>
      </c>
      <c r="F41" s="25">
        <v>178</v>
      </c>
      <c r="G41" s="134">
        <v>62.05</v>
      </c>
      <c r="H41" s="135">
        <v>54.1</v>
      </c>
    </row>
    <row r="42" spans="1:11">
      <c r="A42" s="129" t="s">
        <v>565</v>
      </c>
      <c r="B42" s="32" t="s">
        <v>1388</v>
      </c>
      <c r="C42" s="14" t="s">
        <v>1389</v>
      </c>
      <c r="D42" s="33">
        <v>263</v>
      </c>
      <c r="E42" s="24">
        <v>88</v>
      </c>
      <c r="F42" s="25">
        <v>175</v>
      </c>
      <c r="G42" s="134">
        <v>61.3</v>
      </c>
      <c r="H42" s="135">
        <v>52.6</v>
      </c>
    </row>
    <row r="43" spans="1:11">
      <c r="A43" s="129" t="s">
        <v>565</v>
      </c>
      <c r="B43" s="32" t="s">
        <v>1390</v>
      </c>
      <c r="C43" s="14" t="s">
        <v>1391</v>
      </c>
      <c r="D43" s="33">
        <v>126</v>
      </c>
      <c r="E43" s="24">
        <v>59</v>
      </c>
      <c r="F43" s="25">
        <v>67</v>
      </c>
      <c r="G43" s="134">
        <v>60.55</v>
      </c>
      <c r="H43" s="135">
        <v>51.1</v>
      </c>
    </row>
    <row r="44" spans="1:11">
      <c r="A44" s="129" t="s">
        <v>565</v>
      </c>
      <c r="B44" s="32" t="s">
        <v>1392</v>
      </c>
      <c r="C44" s="14" t="s">
        <v>1393</v>
      </c>
      <c r="D44" s="33">
        <v>55</v>
      </c>
      <c r="E44" s="24">
        <v>25</v>
      </c>
      <c r="F44" s="25">
        <v>30</v>
      </c>
      <c r="G44" s="134">
        <v>59.8</v>
      </c>
      <c r="H44" s="135">
        <v>49.6</v>
      </c>
    </row>
    <row r="45" spans="1:11">
      <c r="A45" s="129" t="s">
        <v>565</v>
      </c>
      <c r="B45" s="32" t="s">
        <v>1394</v>
      </c>
      <c r="C45" s="14" t="s">
        <v>1395</v>
      </c>
      <c r="D45" s="33">
        <v>16</v>
      </c>
      <c r="E45" s="24">
        <v>5</v>
      </c>
      <c r="F45" s="25">
        <v>11</v>
      </c>
      <c r="G45" s="134">
        <v>59.05</v>
      </c>
      <c r="H45" s="135">
        <v>48.1</v>
      </c>
    </row>
    <row r="46" spans="1:11">
      <c r="A46" s="129" t="s">
        <v>565</v>
      </c>
      <c r="B46" s="32" t="s">
        <v>1396</v>
      </c>
      <c r="C46" s="14" t="s">
        <v>1397</v>
      </c>
      <c r="D46" s="33">
        <v>9</v>
      </c>
      <c r="E46" s="24">
        <v>3</v>
      </c>
      <c r="F46" s="25">
        <v>6</v>
      </c>
      <c r="G46" s="134">
        <v>58.3</v>
      </c>
      <c r="H46" s="135">
        <v>46.6</v>
      </c>
    </row>
    <row r="47" spans="1:11">
      <c r="A47" s="129" t="s">
        <v>565</v>
      </c>
      <c r="B47" s="32" t="s">
        <v>1398</v>
      </c>
      <c r="C47" s="14" t="s">
        <v>1399</v>
      </c>
      <c r="D47" s="33">
        <v>3</v>
      </c>
      <c r="E47" s="24">
        <v>0</v>
      </c>
      <c r="F47" s="25">
        <v>3</v>
      </c>
      <c r="G47" s="134">
        <v>57.55</v>
      </c>
      <c r="H47" s="135">
        <v>45.1</v>
      </c>
    </row>
    <row r="48" spans="1:11">
      <c r="A48" s="130"/>
      <c r="B48" s="34" t="s">
        <v>1400</v>
      </c>
      <c r="C48" s="35"/>
      <c r="D48" s="36">
        <f>SUM(D25:D47)</f>
        <v>8760</v>
      </c>
      <c r="E48" s="125">
        <f>SUM(E25:E47)</f>
        <v>3380</v>
      </c>
      <c r="F48" s="126">
        <f>SUM(F25:F47)</f>
        <v>5380</v>
      </c>
      <c r="G48" s="37"/>
      <c r="H48" s="36"/>
    </row>
  </sheetData>
  <sheetProtection algorithmName="SHA-512" hashValue="qoSxAB8zYalujVpvnhCHiNqUHEOIQtM2xjLhiChHWBWpYx1iYoDSPdJyg9mmdK4bijwsdKfoZQNwmkEmyVMVeQ==" saltValue="YJgiIExVYQRd5lTNigT7xQ==" spinCount="100000" sheet="1" objects="1" scenarios="1"/>
  <mergeCells count="10">
    <mergeCell ref="B23:D23"/>
    <mergeCell ref="E23:F23"/>
    <mergeCell ref="C8:M8"/>
    <mergeCell ref="C1:M1"/>
    <mergeCell ref="C2:M2"/>
    <mergeCell ref="C3:M3"/>
    <mergeCell ref="C4:M4"/>
    <mergeCell ref="C5:M5"/>
    <mergeCell ref="C6:M6"/>
    <mergeCell ref="C7:M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F41AE-CA67-45C1-8C36-91CA3021AD52}">
  <sheetPr codeName="Sheet1">
    <tabColor theme="7" tint="0.39997558519241921"/>
  </sheetPr>
  <dimension ref="A1:S42"/>
  <sheetViews>
    <sheetView zoomScale="85" zoomScaleNormal="85" workbookViewId="0">
      <selection activeCell="O21" sqref="O21"/>
    </sheetView>
  </sheetViews>
  <sheetFormatPr defaultColWidth="8.7109375" defaultRowHeight="14.45"/>
  <cols>
    <col min="1" max="1" width="8.7109375" style="147"/>
    <col min="2" max="2" width="26.42578125" style="147" bestFit="1" customWidth="1"/>
    <col min="3" max="3" width="41" style="147" customWidth="1"/>
    <col min="4" max="12" width="18.28515625" style="147" customWidth="1"/>
    <col min="13" max="16384" width="8.7109375" style="147"/>
  </cols>
  <sheetData>
    <row r="1" spans="1:19" ht="38.450000000000003">
      <c r="A1" s="956" t="s">
        <v>167</v>
      </c>
    </row>
    <row r="3" spans="1:19" ht="18.600000000000001">
      <c r="B3" s="1375" t="s">
        <v>1</v>
      </c>
      <c r="C3" s="1376"/>
      <c r="D3" s="1376"/>
      <c r="E3" s="1376"/>
      <c r="F3" s="1376"/>
      <c r="G3" s="1376"/>
      <c r="H3" s="1376"/>
      <c r="I3" s="1376"/>
      <c r="J3" s="1376"/>
      <c r="K3" s="1376"/>
      <c r="L3" s="1376"/>
      <c r="M3" s="340"/>
      <c r="N3" s="340"/>
      <c r="O3" s="340"/>
      <c r="P3" s="340"/>
      <c r="Q3" s="340"/>
      <c r="R3" s="340"/>
      <c r="S3" s="340"/>
    </row>
    <row r="4" spans="1:19">
      <c r="B4" s="1377" t="s">
        <v>168</v>
      </c>
      <c r="C4" s="1378"/>
      <c r="D4" s="1378"/>
      <c r="E4" s="1378"/>
      <c r="F4" s="1378"/>
      <c r="G4" s="1378"/>
      <c r="H4" s="1378"/>
      <c r="I4" s="1378"/>
      <c r="J4" s="1378"/>
      <c r="K4" s="1378"/>
      <c r="L4" s="1379"/>
      <c r="M4" s="275"/>
      <c r="N4" s="275"/>
      <c r="O4" s="275"/>
      <c r="P4" s="275"/>
      <c r="Q4" s="275"/>
      <c r="R4" s="275"/>
    </row>
    <row r="5" spans="1:19" ht="15" thickBot="1">
      <c r="B5" s="275"/>
      <c r="C5" s="275"/>
      <c r="D5" s="275"/>
      <c r="E5" s="275"/>
      <c r="F5" s="275"/>
      <c r="G5" s="275"/>
      <c r="H5" s="275"/>
      <c r="I5" s="275"/>
      <c r="J5" s="275"/>
      <c r="K5" s="275"/>
      <c r="L5" s="275"/>
      <c r="M5" s="275"/>
      <c r="N5" s="275"/>
      <c r="O5" s="275"/>
      <c r="P5" s="275"/>
      <c r="Q5" s="275"/>
      <c r="R5" s="275"/>
    </row>
    <row r="6" spans="1:19">
      <c r="B6" s="1392" t="s">
        <v>169</v>
      </c>
      <c r="C6" s="1393"/>
      <c r="D6" s="1394" t="s">
        <v>170</v>
      </c>
      <c r="E6" s="1395"/>
      <c r="F6" s="1395"/>
      <c r="G6" s="1395"/>
      <c r="H6" s="1395"/>
      <c r="I6" s="1395"/>
      <c r="J6" s="1395"/>
      <c r="K6" s="1395"/>
      <c r="L6" s="1396"/>
    </row>
    <row r="7" spans="1:19" ht="44.1" thickBot="1">
      <c r="B7" s="957" t="s">
        <v>171</v>
      </c>
      <c r="C7" s="994" t="s">
        <v>172</v>
      </c>
      <c r="D7" s="958" t="s">
        <v>173</v>
      </c>
      <c r="E7" s="959" t="s">
        <v>174</v>
      </c>
      <c r="F7" s="959" t="s">
        <v>160</v>
      </c>
      <c r="G7" s="959" t="s">
        <v>175</v>
      </c>
      <c r="H7" s="959" t="s">
        <v>151</v>
      </c>
      <c r="I7" s="959" t="s">
        <v>176</v>
      </c>
      <c r="J7" s="959" t="s">
        <v>177</v>
      </c>
      <c r="K7" s="959" t="s">
        <v>178</v>
      </c>
      <c r="L7" s="960" t="s">
        <v>162</v>
      </c>
    </row>
    <row r="8" spans="1:19">
      <c r="B8" s="1390" t="s">
        <v>179</v>
      </c>
      <c r="C8" s="1008" t="s">
        <v>180</v>
      </c>
      <c r="D8" s="1009">
        <v>1</v>
      </c>
      <c r="E8" s="1010">
        <v>1</v>
      </c>
      <c r="F8" s="1010">
        <v>0</v>
      </c>
      <c r="G8" s="1010">
        <v>0</v>
      </c>
      <c r="H8" s="1010">
        <v>0</v>
      </c>
      <c r="I8" s="1011">
        <v>1</v>
      </c>
      <c r="J8" s="1010">
        <v>0</v>
      </c>
      <c r="K8" s="1010">
        <v>1</v>
      </c>
      <c r="L8" s="1012">
        <v>0</v>
      </c>
    </row>
    <row r="9" spans="1:19">
      <c r="B9" s="1391"/>
      <c r="C9" s="1278" t="s">
        <v>181</v>
      </c>
      <c r="D9" s="961">
        <v>1</v>
      </c>
      <c r="E9" s="962">
        <v>1</v>
      </c>
      <c r="F9" s="962">
        <v>0</v>
      </c>
      <c r="G9" s="962">
        <v>0</v>
      </c>
      <c r="H9" s="962">
        <v>1</v>
      </c>
      <c r="I9" s="962">
        <v>1</v>
      </c>
      <c r="J9" s="962">
        <v>0</v>
      </c>
      <c r="K9" s="962">
        <v>1</v>
      </c>
      <c r="L9" s="963">
        <v>0</v>
      </c>
    </row>
    <row r="10" spans="1:19">
      <c r="B10" s="1391"/>
      <c r="C10" s="1279" t="s">
        <v>182</v>
      </c>
      <c r="D10" s="966">
        <v>1</v>
      </c>
      <c r="E10" s="967">
        <v>1</v>
      </c>
      <c r="F10" s="967">
        <v>0</v>
      </c>
      <c r="G10" s="967">
        <v>0</v>
      </c>
      <c r="H10" s="967">
        <v>1</v>
      </c>
      <c r="I10" s="967">
        <v>1</v>
      </c>
      <c r="J10" s="967">
        <v>0</v>
      </c>
      <c r="K10" s="967">
        <v>1</v>
      </c>
      <c r="L10" s="986">
        <v>0</v>
      </c>
    </row>
    <row r="11" spans="1:19">
      <c r="B11" s="1391"/>
      <c r="C11" s="1278" t="s">
        <v>183</v>
      </c>
      <c r="D11" s="961">
        <v>1</v>
      </c>
      <c r="E11" s="962">
        <v>1</v>
      </c>
      <c r="F11" s="962">
        <v>0</v>
      </c>
      <c r="G11" s="962">
        <v>0</v>
      </c>
      <c r="H11" s="962">
        <v>0</v>
      </c>
      <c r="I11" s="962">
        <v>0</v>
      </c>
      <c r="J11" s="962">
        <v>0</v>
      </c>
      <c r="K11" s="962">
        <v>0</v>
      </c>
      <c r="L11" s="963">
        <v>0</v>
      </c>
    </row>
    <row r="12" spans="1:19">
      <c r="B12" s="1391"/>
      <c r="C12" s="1279" t="s">
        <v>184</v>
      </c>
      <c r="D12" s="966">
        <v>1</v>
      </c>
      <c r="E12" s="967">
        <v>1</v>
      </c>
      <c r="F12" s="967">
        <v>0</v>
      </c>
      <c r="G12" s="967">
        <v>0</v>
      </c>
      <c r="H12" s="967">
        <v>0</v>
      </c>
      <c r="I12" s="967">
        <v>1</v>
      </c>
      <c r="J12" s="967">
        <v>0</v>
      </c>
      <c r="K12" s="967">
        <v>1</v>
      </c>
      <c r="L12" s="986">
        <v>0</v>
      </c>
    </row>
    <row r="13" spans="1:19">
      <c r="B13" s="1391"/>
      <c r="C13" s="1278" t="s">
        <v>185</v>
      </c>
      <c r="D13" s="961">
        <v>1</v>
      </c>
      <c r="E13" s="962">
        <v>1</v>
      </c>
      <c r="F13" s="962">
        <v>0</v>
      </c>
      <c r="G13" s="962">
        <v>0</v>
      </c>
      <c r="H13" s="962">
        <v>0</v>
      </c>
      <c r="I13" s="962">
        <v>0</v>
      </c>
      <c r="J13" s="962">
        <v>0</v>
      </c>
      <c r="K13" s="962">
        <v>0</v>
      </c>
      <c r="L13" s="963">
        <v>0</v>
      </c>
    </row>
    <row r="14" spans="1:19">
      <c r="B14" s="1391"/>
      <c r="C14" s="1279" t="s">
        <v>186</v>
      </c>
      <c r="D14" s="966">
        <v>1</v>
      </c>
      <c r="E14" s="967">
        <v>1</v>
      </c>
      <c r="F14" s="967">
        <v>0</v>
      </c>
      <c r="G14" s="967">
        <v>0</v>
      </c>
      <c r="H14" s="967">
        <v>0</v>
      </c>
      <c r="I14" s="967">
        <v>1</v>
      </c>
      <c r="J14" s="967">
        <v>0</v>
      </c>
      <c r="K14" s="967">
        <v>0</v>
      </c>
      <c r="L14" s="986">
        <v>0</v>
      </c>
    </row>
    <row r="15" spans="1:19">
      <c r="B15" s="1388" t="s">
        <v>187</v>
      </c>
      <c r="C15" s="1280" t="s">
        <v>188</v>
      </c>
      <c r="D15" s="978">
        <v>0</v>
      </c>
      <c r="E15" s="979">
        <v>0</v>
      </c>
      <c r="F15" s="979">
        <v>0</v>
      </c>
      <c r="G15" s="979">
        <v>0</v>
      </c>
      <c r="H15" s="979">
        <v>0</v>
      </c>
      <c r="I15" s="979">
        <v>1</v>
      </c>
      <c r="J15" s="979">
        <v>1</v>
      </c>
      <c r="K15" s="979">
        <v>1</v>
      </c>
      <c r="L15" s="987">
        <v>0</v>
      </c>
    </row>
    <row r="16" spans="1:19">
      <c r="B16" s="1389"/>
      <c r="C16" s="1278" t="s">
        <v>189</v>
      </c>
      <c r="D16" s="961">
        <v>0</v>
      </c>
      <c r="E16" s="962">
        <v>0</v>
      </c>
      <c r="F16" s="962">
        <v>1</v>
      </c>
      <c r="G16" s="962">
        <v>0</v>
      </c>
      <c r="H16" s="962">
        <v>0</v>
      </c>
      <c r="I16" s="962">
        <v>1</v>
      </c>
      <c r="J16" s="962">
        <v>1</v>
      </c>
      <c r="K16" s="962">
        <v>1</v>
      </c>
      <c r="L16" s="963">
        <v>1</v>
      </c>
    </row>
    <row r="17" spans="2:13">
      <c r="B17" s="1385" t="s">
        <v>190</v>
      </c>
      <c r="C17" s="1281" t="s">
        <v>191</v>
      </c>
      <c r="D17" s="968">
        <v>1</v>
      </c>
      <c r="E17" s="969">
        <v>1</v>
      </c>
      <c r="F17" s="969">
        <v>0</v>
      </c>
      <c r="G17" s="969">
        <v>0</v>
      </c>
      <c r="H17" s="969">
        <v>0</v>
      </c>
      <c r="I17" s="969">
        <v>0</v>
      </c>
      <c r="J17" s="969">
        <v>0</v>
      </c>
      <c r="K17" s="969">
        <v>0</v>
      </c>
      <c r="L17" s="988">
        <v>0</v>
      </c>
    </row>
    <row r="18" spans="2:13">
      <c r="B18" s="1386"/>
      <c r="C18" s="1278" t="s">
        <v>192</v>
      </c>
      <c r="D18" s="961">
        <v>1</v>
      </c>
      <c r="E18" s="962">
        <v>1</v>
      </c>
      <c r="F18" s="962">
        <v>0</v>
      </c>
      <c r="G18" s="962">
        <v>1</v>
      </c>
      <c r="H18" s="962">
        <v>0</v>
      </c>
      <c r="I18" s="962">
        <v>0</v>
      </c>
      <c r="J18" s="962">
        <v>0</v>
      </c>
      <c r="K18" s="962">
        <v>0</v>
      </c>
      <c r="L18" s="963">
        <v>0</v>
      </c>
    </row>
    <row r="19" spans="2:13">
      <c r="B19" s="1386"/>
      <c r="C19" s="1282" t="s">
        <v>193</v>
      </c>
      <c r="D19" s="970">
        <v>1</v>
      </c>
      <c r="E19" s="971">
        <v>1</v>
      </c>
      <c r="F19" s="971">
        <v>0</v>
      </c>
      <c r="G19" s="971">
        <v>0</v>
      </c>
      <c r="H19" s="971">
        <v>0</v>
      </c>
      <c r="I19" s="971">
        <v>0</v>
      </c>
      <c r="J19" s="971">
        <v>0</v>
      </c>
      <c r="K19" s="971">
        <v>0</v>
      </c>
      <c r="L19" s="989">
        <v>0</v>
      </c>
    </row>
    <row r="20" spans="2:13">
      <c r="B20" s="1386"/>
      <c r="C20" s="1278" t="s">
        <v>194</v>
      </c>
      <c r="D20" s="961">
        <v>1</v>
      </c>
      <c r="E20" s="962">
        <v>1</v>
      </c>
      <c r="F20" s="962">
        <v>0</v>
      </c>
      <c r="G20" s="962">
        <v>1</v>
      </c>
      <c r="H20" s="962">
        <v>0</v>
      </c>
      <c r="I20" s="962">
        <v>0</v>
      </c>
      <c r="J20" s="962">
        <v>0</v>
      </c>
      <c r="K20" s="962">
        <v>0</v>
      </c>
      <c r="L20" s="963">
        <v>0</v>
      </c>
    </row>
    <row r="21" spans="2:13" ht="29.1">
      <c r="B21" s="1387"/>
      <c r="C21" s="998" t="s">
        <v>195</v>
      </c>
      <c r="D21" s="976">
        <v>1</v>
      </c>
      <c r="E21" s="977">
        <v>1</v>
      </c>
      <c r="F21" s="977">
        <v>0</v>
      </c>
      <c r="G21" s="977">
        <v>0</v>
      </c>
      <c r="H21" s="977">
        <v>0</v>
      </c>
      <c r="I21" s="977">
        <v>0</v>
      </c>
      <c r="J21" s="977">
        <v>0</v>
      </c>
      <c r="K21" s="977">
        <v>0</v>
      </c>
      <c r="L21" s="990">
        <v>0</v>
      </c>
      <c r="M21" s="167"/>
    </row>
    <row r="22" spans="2:13">
      <c r="B22" s="1382" t="s">
        <v>196</v>
      </c>
      <c r="C22" s="984" t="s">
        <v>180</v>
      </c>
      <c r="D22" s="964">
        <v>1</v>
      </c>
      <c r="E22" s="965"/>
      <c r="F22" s="965">
        <v>0</v>
      </c>
      <c r="G22" s="965">
        <v>0</v>
      </c>
      <c r="H22" s="965">
        <v>0</v>
      </c>
      <c r="I22" s="965">
        <v>1</v>
      </c>
      <c r="J22" s="965">
        <v>0</v>
      </c>
      <c r="K22" s="965">
        <v>1</v>
      </c>
      <c r="L22" s="991">
        <v>0</v>
      </c>
    </row>
    <row r="23" spans="2:13">
      <c r="B23" s="1383"/>
      <c r="C23" s="1283" t="s">
        <v>181</v>
      </c>
      <c r="D23" s="972">
        <v>1</v>
      </c>
      <c r="E23" s="973">
        <v>0</v>
      </c>
      <c r="F23" s="973">
        <v>0</v>
      </c>
      <c r="G23" s="973">
        <v>0</v>
      </c>
      <c r="H23" s="973">
        <v>0</v>
      </c>
      <c r="I23" s="973">
        <v>1</v>
      </c>
      <c r="J23" s="973">
        <v>0</v>
      </c>
      <c r="K23" s="973">
        <v>1</v>
      </c>
      <c r="L23" s="992">
        <v>0</v>
      </c>
    </row>
    <row r="24" spans="2:13">
      <c r="B24" s="1383"/>
      <c r="C24" s="1278" t="s">
        <v>182</v>
      </c>
      <c r="D24" s="961">
        <v>1</v>
      </c>
      <c r="E24" s="962">
        <v>0</v>
      </c>
      <c r="F24" s="962">
        <v>0</v>
      </c>
      <c r="G24" s="962">
        <v>0</v>
      </c>
      <c r="H24" s="962">
        <v>0</v>
      </c>
      <c r="I24" s="962">
        <v>1</v>
      </c>
      <c r="J24" s="962">
        <v>0</v>
      </c>
      <c r="K24" s="962">
        <v>1</v>
      </c>
      <c r="L24" s="963">
        <v>0</v>
      </c>
    </row>
    <row r="25" spans="2:13">
      <c r="B25" s="1383"/>
      <c r="C25" s="1283" t="s">
        <v>183</v>
      </c>
      <c r="D25" s="972">
        <v>1</v>
      </c>
      <c r="E25" s="973"/>
      <c r="F25" s="973">
        <v>0</v>
      </c>
      <c r="G25" s="973">
        <v>0</v>
      </c>
      <c r="H25" s="973">
        <v>0</v>
      </c>
      <c r="I25" s="973">
        <v>0</v>
      </c>
      <c r="J25" s="973">
        <v>0</v>
      </c>
      <c r="K25" s="973">
        <v>0</v>
      </c>
      <c r="L25" s="992">
        <v>0</v>
      </c>
    </row>
    <row r="26" spans="2:13">
      <c r="B26" s="1383"/>
      <c r="C26" s="1278" t="s">
        <v>184</v>
      </c>
      <c r="D26" s="961">
        <v>0</v>
      </c>
      <c r="E26" s="962">
        <v>0</v>
      </c>
      <c r="F26" s="962">
        <v>0</v>
      </c>
      <c r="G26" s="962">
        <v>0</v>
      </c>
      <c r="H26" s="962">
        <v>0</v>
      </c>
      <c r="I26" s="962">
        <v>0</v>
      </c>
      <c r="J26" s="962">
        <v>0</v>
      </c>
      <c r="K26" s="962">
        <v>0</v>
      </c>
      <c r="L26" s="963">
        <v>0</v>
      </c>
    </row>
    <row r="27" spans="2:13">
      <c r="B27" s="1384"/>
      <c r="C27" s="1284" t="s">
        <v>197</v>
      </c>
      <c r="D27" s="974">
        <v>0</v>
      </c>
      <c r="E27" s="975">
        <v>0</v>
      </c>
      <c r="F27" s="975">
        <v>0</v>
      </c>
      <c r="G27" s="975">
        <v>0</v>
      </c>
      <c r="H27" s="975">
        <v>0</v>
      </c>
      <c r="I27" s="975">
        <v>0</v>
      </c>
      <c r="J27" s="975">
        <v>0</v>
      </c>
      <c r="K27" s="975">
        <v>0</v>
      </c>
      <c r="L27" s="993">
        <v>0</v>
      </c>
    </row>
    <row r="28" spans="2:13">
      <c r="B28" s="1380" t="s">
        <v>198</v>
      </c>
      <c r="C28" s="983" t="s">
        <v>199</v>
      </c>
      <c r="D28" s="961">
        <v>0</v>
      </c>
      <c r="E28" s="962">
        <v>0</v>
      </c>
      <c r="F28" s="962">
        <v>0</v>
      </c>
      <c r="G28" s="962">
        <v>0</v>
      </c>
      <c r="H28" s="962">
        <v>0</v>
      </c>
      <c r="I28" s="962">
        <v>0</v>
      </c>
      <c r="J28" s="962">
        <v>0</v>
      </c>
      <c r="K28" s="962">
        <v>0</v>
      </c>
      <c r="L28" s="963">
        <v>0</v>
      </c>
    </row>
    <row r="29" spans="2:13">
      <c r="B29" s="1380"/>
      <c r="C29" s="985" t="s">
        <v>200</v>
      </c>
      <c r="D29" s="980">
        <v>0</v>
      </c>
      <c r="E29" s="981">
        <v>0</v>
      </c>
      <c r="F29" s="981">
        <v>0</v>
      </c>
      <c r="G29" s="981">
        <v>0</v>
      </c>
      <c r="H29" s="981">
        <v>0</v>
      </c>
      <c r="I29" s="981">
        <v>0</v>
      </c>
      <c r="J29" s="981">
        <v>0</v>
      </c>
      <c r="K29" s="981">
        <v>0</v>
      </c>
      <c r="L29" s="982">
        <v>0</v>
      </c>
    </row>
    <row r="30" spans="2:13">
      <c r="B30" s="1380"/>
      <c r="C30" s="983" t="s">
        <v>201</v>
      </c>
      <c r="D30" s="961">
        <v>0</v>
      </c>
      <c r="E30" s="962">
        <v>0</v>
      </c>
      <c r="F30" s="962">
        <v>0</v>
      </c>
      <c r="G30" s="962">
        <v>0</v>
      </c>
      <c r="H30" s="962">
        <v>0</v>
      </c>
      <c r="I30" s="962">
        <v>0</v>
      </c>
      <c r="J30" s="962">
        <v>0</v>
      </c>
      <c r="K30" s="962">
        <v>0</v>
      </c>
      <c r="L30" s="963">
        <v>0</v>
      </c>
    </row>
    <row r="31" spans="2:13">
      <c r="B31" s="1380"/>
      <c r="C31" s="985" t="s">
        <v>202</v>
      </c>
      <c r="D31" s="980">
        <v>0</v>
      </c>
      <c r="E31" s="981">
        <v>0</v>
      </c>
      <c r="F31" s="981">
        <v>0</v>
      </c>
      <c r="G31" s="981">
        <v>0</v>
      </c>
      <c r="H31" s="981">
        <v>0</v>
      </c>
      <c r="I31" s="981">
        <v>0</v>
      </c>
      <c r="J31" s="981">
        <v>0</v>
      </c>
      <c r="K31" s="981">
        <v>0</v>
      </c>
      <c r="L31" s="982">
        <v>0</v>
      </c>
    </row>
    <row r="32" spans="2:13">
      <c r="B32" s="1380"/>
      <c r="C32" s="983" t="s">
        <v>203</v>
      </c>
      <c r="D32" s="961">
        <v>0</v>
      </c>
      <c r="E32" s="962">
        <v>0</v>
      </c>
      <c r="F32" s="962">
        <v>0</v>
      </c>
      <c r="G32" s="962">
        <v>0</v>
      </c>
      <c r="H32" s="962">
        <v>0</v>
      </c>
      <c r="I32" s="962">
        <v>0</v>
      </c>
      <c r="J32" s="962">
        <v>0</v>
      </c>
      <c r="K32" s="962">
        <v>0</v>
      </c>
      <c r="L32" s="963">
        <v>0</v>
      </c>
    </row>
    <row r="33" spans="2:12">
      <c r="B33" s="1380"/>
      <c r="C33" s="985" t="s">
        <v>204</v>
      </c>
      <c r="D33" s="980">
        <v>0</v>
      </c>
      <c r="E33" s="981">
        <v>0</v>
      </c>
      <c r="F33" s="981">
        <v>0</v>
      </c>
      <c r="G33" s="981">
        <v>0</v>
      </c>
      <c r="H33" s="981">
        <v>0</v>
      </c>
      <c r="I33" s="981">
        <v>0</v>
      </c>
      <c r="J33" s="981">
        <v>0</v>
      </c>
      <c r="K33" s="981">
        <v>0</v>
      </c>
      <c r="L33" s="982">
        <v>0</v>
      </c>
    </row>
    <row r="34" spans="2:12">
      <c r="B34" s="1380"/>
      <c r="C34" s="983" t="s">
        <v>205</v>
      </c>
      <c r="D34" s="961">
        <v>0</v>
      </c>
      <c r="E34" s="962">
        <v>0</v>
      </c>
      <c r="F34" s="962">
        <v>0</v>
      </c>
      <c r="G34" s="962">
        <v>0</v>
      </c>
      <c r="H34" s="962">
        <v>0</v>
      </c>
      <c r="I34" s="962">
        <v>0</v>
      </c>
      <c r="J34" s="962">
        <v>0</v>
      </c>
      <c r="K34" s="962">
        <v>0</v>
      </c>
      <c r="L34" s="963">
        <v>0</v>
      </c>
    </row>
    <row r="35" spans="2:12">
      <c r="B35" s="1380"/>
      <c r="C35" s="985" t="s">
        <v>206</v>
      </c>
      <c r="D35" s="980">
        <v>0</v>
      </c>
      <c r="E35" s="981">
        <v>0</v>
      </c>
      <c r="F35" s="981">
        <v>0</v>
      </c>
      <c r="G35" s="981">
        <v>0</v>
      </c>
      <c r="H35" s="981">
        <v>0</v>
      </c>
      <c r="I35" s="981">
        <v>0</v>
      </c>
      <c r="J35" s="981">
        <v>0</v>
      </c>
      <c r="K35" s="981">
        <v>0</v>
      </c>
      <c r="L35" s="982">
        <v>0</v>
      </c>
    </row>
    <row r="36" spans="2:12">
      <c r="B36" s="1380"/>
      <c r="C36" s="983" t="s">
        <v>207</v>
      </c>
      <c r="D36" s="961">
        <v>0</v>
      </c>
      <c r="E36" s="962">
        <v>0</v>
      </c>
      <c r="F36" s="962">
        <v>0</v>
      </c>
      <c r="G36" s="962">
        <v>0</v>
      </c>
      <c r="H36" s="962">
        <v>0</v>
      </c>
      <c r="I36" s="962">
        <v>0</v>
      </c>
      <c r="J36" s="962">
        <v>0</v>
      </c>
      <c r="K36" s="962">
        <v>0</v>
      </c>
      <c r="L36" s="963">
        <v>0</v>
      </c>
    </row>
    <row r="37" spans="2:12" ht="15" thickBot="1">
      <c r="B37" s="1381"/>
      <c r="C37" s="1059" t="s">
        <v>208</v>
      </c>
      <c r="D37" s="1060">
        <v>0</v>
      </c>
      <c r="E37" s="1061">
        <v>0</v>
      </c>
      <c r="F37" s="1061">
        <v>0</v>
      </c>
      <c r="G37" s="1061">
        <v>0</v>
      </c>
      <c r="H37" s="1061">
        <v>0</v>
      </c>
      <c r="I37" s="1061">
        <v>0</v>
      </c>
      <c r="J37" s="1061">
        <v>0</v>
      </c>
      <c r="K37" s="1061">
        <v>0</v>
      </c>
      <c r="L37" s="1062">
        <v>0</v>
      </c>
    </row>
    <row r="39" spans="2:12">
      <c r="B39" s="148" t="s">
        <v>209</v>
      </c>
    </row>
    <row r="40" spans="2:12">
      <c r="B40" s="147" t="s">
        <v>210</v>
      </c>
    </row>
    <row r="41" spans="2:12">
      <c r="B41" s="147" t="s">
        <v>211</v>
      </c>
    </row>
    <row r="42" spans="2:12">
      <c r="B42" s="147" t="s">
        <v>212</v>
      </c>
    </row>
  </sheetData>
  <sheetProtection algorithmName="SHA-512" hashValue="/fHPuoeSJa4gPK5nurkQpmEzZMvfTVFH3xXYqFxX2mYQzf4Rgmn3haJFm2G6raKiTaIV3VosamcdfiD2UE/x9A==" saltValue="zD/EXvKyS0bTfj8oIIl3Kg==" spinCount="100000" sheet="1" objects="1" scenarios="1"/>
  <mergeCells count="9">
    <mergeCell ref="B3:L3"/>
    <mergeCell ref="B4:L4"/>
    <mergeCell ref="B28:B37"/>
    <mergeCell ref="B22:B27"/>
    <mergeCell ref="B17:B21"/>
    <mergeCell ref="B15:B16"/>
    <mergeCell ref="B8:B14"/>
    <mergeCell ref="B6:C6"/>
    <mergeCell ref="D6:L6"/>
  </mergeCells>
  <conditionalFormatting sqref="D8:L37">
    <cfRule type="cellIs" dxfId="72" priority="1" operator="equal">
      <formula>"?"</formula>
    </cfRule>
    <cfRule type="cellIs" dxfId="71" priority="2" operator="equal">
      <formula>1</formula>
    </cfRule>
    <cfRule type="cellIs" dxfId="70" priority="3"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623AA-3931-4C43-ABF8-B438F9601290}">
  <sheetPr codeName="Sheet25">
    <tabColor theme="9" tint="0.39997558519241921"/>
  </sheetPr>
  <dimension ref="A1:AL243"/>
  <sheetViews>
    <sheetView tabSelected="1" topLeftCell="A3" zoomScale="85" zoomScaleNormal="85" workbookViewId="0">
      <selection activeCell="C15" sqref="C15:D15"/>
    </sheetView>
  </sheetViews>
  <sheetFormatPr defaultColWidth="8.7109375" defaultRowHeight="14.45" outlineLevelRow="2"/>
  <cols>
    <col min="1" max="1" width="10.42578125" style="147" customWidth="1"/>
    <col min="2" max="2" width="51.85546875" style="95" customWidth="1"/>
    <col min="3" max="7" width="23.140625" customWidth="1"/>
    <col min="8" max="8" width="27.28515625" customWidth="1"/>
    <col min="9" max="9" width="33.7109375" customWidth="1"/>
    <col min="10" max="10" width="17.28515625" style="1134" hidden="1" customWidth="1"/>
    <col min="11" max="11" width="40.7109375" style="1135" hidden="1" customWidth="1"/>
    <col min="12" max="12" width="36.7109375" style="1136" hidden="1" customWidth="1"/>
    <col min="13" max="13" width="6.42578125" style="147" customWidth="1"/>
    <col min="14" max="14" width="23.85546875" style="147" customWidth="1"/>
    <col min="15" max="16" width="13.5703125" style="147" customWidth="1"/>
    <col min="17" max="37" width="8.7109375" style="147"/>
  </cols>
  <sheetData>
    <row r="1" spans="1:15" s="147" customFormat="1" ht="17.100000000000001">
      <c r="A1" s="1291" t="s">
        <v>213</v>
      </c>
      <c r="B1" s="335"/>
      <c r="J1" s="1134"/>
      <c r="K1" s="1135"/>
      <c r="L1" s="1136"/>
    </row>
    <row r="2" spans="1:15" s="147" customFormat="1">
      <c r="B2" s="335"/>
      <c r="J2" s="1137"/>
      <c r="K2" s="1136"/>
      <c r="L2" s="1136"/>
    </row>
    <row r="3" spans="1:15" s="147" customFormat="1" ht="32.450000000000003">
      <c r="B3" s="370" t="s">
        <v>214</v>
      </c>
      <c r="C3" s="1469" t="s">
        <v>215</v>
      </c>
      <c r="D3" s="1470"/>
      <c r="E3" s="1470"/>
      <c r="F3" s="1470"/>
      <c r="G3" s="1471"/>
      <c r="H3" s="366" t="s">
        <v>216</v>
      </c>
      <c r="I3" s="1264" t="s">
        <v>64</v>
      </c>
      <c r="J3" s="1137"/>
      <c r="N3" s="1066" t="s">
        <v>217</v>
      </c>
    </row>
    <row r="4" spans="1:15" s="147" customFormat="1" ht="15.6" outlineLevel="1">
      <c r="B4" s="371" t="s">
        <v>218</v>
      </c>
      <c r="C4" s="1472" t="str">
        <f>IF('PA Only - Pre-Inspection'!C9="","",'PA Only - Pre-Inspection'!C9)</f>
        <v/>
      </c>
      <c r="D4" s="1472"/>
      <c r="E4" s="1472"/>
      <c r="F4" s="1472"/>
      <c r="G4" s="1473"/>
      <c r="H4" s="366" t="s">
        <v>219</v>
      </c>
      <c r="I4" s="1265">
        <v>45404</v>
      </c>
      <c r="J4" s="1137"/>
      <c r="N4" s="1156" t="s">
        <v>220</v>
      </c>
    </row>
    <row r="5" spans="1:15" s="147" customFormat="1" ht="15.6" outlineLevel="1">
      <c r="B5" s="371" t="s">
        <v>221</v>
      </c>
      <c r="C5" s="1474" t="str">
        <f>IF('PA Only - Pre-Inspection'!C10="","",'PA Only - Pre-Inspection'!C10)</f>
        <v/>
      </c>
      <c r="D5" s="1475"/>
      <c r="E5" s="366" t="s">
        <v>222</v>
      </c>
      <c r="F5" s="369" t="str">
        <f>IF('PA Only - Pre-Inspection'!F10="","",'PA Only - Pre-Inspection'!F10)</f>
        <v/>
      </c>
      <c r="G5" s="366" t="s">
        <v>223</v>
      </c>
      <c r="H5" s="367" t="s">
        <v>224</v>
      </c>
      <c r="I5" s="1274" t="s">
        <v>225</v>
      </c>
      <c r="J5" s="1137"/>
      <c r="N5" s="1067" t="s">
        <v>226</v>
      </c>
    </row>
    <row r="6" spans="1:15" s="147" customFormat="1" ht="15.6" outlineLevel="1">
      <c r="B6" s="371" t="s">
        <v>227</v>
      </c>
      <c r="C6" s="1474" t="str">
        <f>IF('PA Only - Pre-Inspection'!C11="","",'PA Only - Pre-Inspection'!C11)</f>
        <v/>
      </c>
      <c r="D6" s="1475"/>
      <c r="E6" s="366" t="s">
        <v>228</v>
      </c>
      <c r="F6" s="1476" t="str">
        <f>IF('PA Only - Pre-Inspection'!F11="","",'PA Only - Pre-Inspection'!F11)</f>
        <v/>
      </c>
      <c r="G6" s="1477"/>
      <c r="H6" s="1138" t="s">
        <v>229</v>
      </c>
      <c r="I6" s="1274" t="s">
        <v>230</v>
      </c>
      <c r="J6" s="1137"/>
      <c r="N6" s="1068" t="s">
        <v>231</v>
      </c>
    </row>
    <row r="7" spans="1:15" s="147" customFormat="1" ht="17.45" customHeight="1" outlineLevel="1">
      <c r="B7" s="1139" t="s">
        <v>232</v>
      </c>
      <c r="C7" s="1478" t="str">
        <f>IF('PA Only - Pre-Inspection'!C12="","",'PA Only - Pre-Inspection'!C12)</f>
        <v/>
      </c>
      <c r="D7" s="1478"/>
      <c r="E7" s="1478"/>
      <c r="F7" s="1478"/>
      <c r="G7" s="1478"/>
      <c r="H7" s="1478"/>
      <c r="I7" s="1479"/>
      <c r="J7" s="1137"/>
      <c r="N7" s="352" t="s">
        <v>233</v>
      </c>
    </row>
    <row r="8" spans="1:15" s="147" customFormat="1" ht="17.45" customHeight="1" outlineLevel="1">
      <c r="B8" s="1140" t="s">
        <v>234</v>
      </c>
      <c r="C8" s="1483" t="str">
        <f>IF('PA Only - Pre-Inspection'!C13="","",'PA Only - Pre-Inspection'!C13)</f>
        <v> </v>
      </c>
      <c r="D8" s="1483"/>
      <c r="E8" s="1483"/>
      <c r="F8" s="1483"/>
      <c r="G8" s="1141" t="s">
        <v>235</v>
      </c>
      <c r="H8" s="1484" t="str">
        <f>IF('PA Only - Pre-Inspection'!H13="","",'PA Only - Pre-Inspection'!H13)</f>
        <v/>
      </c>
      <c r="I8" s="1485"/>
      <c r="J8" s="1137"/>
      <c r="K8" s="1142"/>
      <c r="L8" s="1142"/>
    </row>
    <row r="9" spans="1:15" s="147" customFormat="1" ht="17.45" customHeight="1" outlineLevel="1">
      <c r="A9" s="167"/>
      <c r="B9" s="1140" t="s">
        <v>236</v>
      </c>
      <c r="C9" s="1480" t="str">
        <f>IF('PA Only - Pre-Inspection'!C14="","",'PA Only - Pre-Inspection'!C14)</f>
        <v/>
      </c>
      <c r="D9" s="1481"/>
      <c r="E9" s="1481"/>
      <c r="F9" s="1481"/>
      <c r="G9" s="1481"/>
      <c r="H9" s="1481"/>
      <c r="I9" s="1482"/>
      <c r="J9" s="1137"/>
      <c r="K9" s="1142"/>
      <c r="L9" s="1142"/>
    </row>
    <row r="10" spans="1:15" s="147" customFormat="1" ht="17.45" customHeight="1" outlineLevel="1">
      <c r="B10" s="1140" t="s">
        <v>237</v>
      </c>
      <c r="C10" s="1480" t="str">
        <f>IF('PA Only - Pre-Inspection'!C15="","",'PA Only - Pre-Inspection'!C15)</f>
        <v/>
      </c>
      <c r="D10" s="1481"/>
      <c r="E10" s="1481"/>
      <c r="F10" s="1481"/>
      <c r="G10" s="1481"/>
      <c r="H10" s="1481"/>
      <c r="I10" s="1482"/>
      <c r="J10" s="1137"/>
      <c r="K10" s="1142"/>
      <c r="L10" s="1142"/>
    </row>
    <row r="11" spans="1:15" s="147" customFormat="1" ht="20.45" customHeight="1" outlineLevel="1">
      <c r="B11" s="1492" t="s">
        <v>238</v>
      </c>
      <c r="C11" s="1493"/>
      <c r="D11" s="1493"/>
      <c r="E11" s="1493"/>
      <c r="F11" s="1493"/>
      <c r="G11" s="1493"/>
      <c r="H11" s="1493"/>
      <c r="I11" s="1494"/>
      <c r="J11" s="1137"/>
      <c r="K11" s="1142"/>
      <c r="L11" s="1142"/>
    </row>
    <row r="12" spans="1:15" s="1070" customFormat="1" ht="21.6" customHeight="1">
      <c r="E12" s="1143"/>
      <c r="G12" s="1143"/>
      <c r="H12" s="1143"/>
      <c r="I12" s="1143"/>
      <c r="J12" s="1144" t="s">
        <v>239</v>
      </c>
      <c r="K12" s="1145" t="s">
        <v>240</v>
      </c>
      <c r="L12" s="1146"/>
      <c r="M12" s="1143"/>
      <c r="O12" s="1143"/>
    </row>
    <row r="13" spans="1:15" s="147" customFormat="1" ht="54.95" customHeight="1">
      <c r="A13" s="1501" t="s">
        <v>241</v>
      </c>
      <c r="B13" s="1501"/>
      <c r="C13" s="1501"/>
      <c r="D13" s="1501"/>
      <c r="E13" s="1501"/>
      <c r="F13" s="1501"/>
      <c r="G13" s="1501"/>
      <c r="H13" s="1501"/>
      <c r="I13" s="1501"/>
      <c r="J13" s="1137"/>
      <c r="K13" s="1135"/>
      <c r="L13" s="1136"/>
    </row>
    <row r="14" spans="1:15" s="1070" customFormat="1" ht="31.5" customHeight="1">
      <c r="A14" s="149" t="s">
        <v>15</v>
      </c>
      <c r="B14" s="1147"/>
      <c r="E14" s="1143"/>
      <c r="F14" s="1143"/>
      <c r="G14" s="1143"/>
      <c r="H14" s="1143"/>
      <c r="I14" s="1143"/>
      <c r="J14" s="1148" t="s">
        <v>242</v>
      </c>
      <c r="K14" s="1145"/>
      <c r="L14" s="1146"/>
      <c r="M14" s="1143"/>
      <c r="O14" s="1143"/>
    </row>
    <row r="15" spans="1:15" s="1070" customFormat="1" ht="32.450000000000003" customHeight="1" outlineLevel="1">
      <c r="B15" s="1149" t="s">
        <v>243</v>
      </c>
      <c r="C15" s="1397" t="s">
        <v>226</v>
      </c>
      <c r="D15" s="1399"/>
      <c r="E15" s="1423" t="s">
        <v>244</v>
      </c>
      <c r="F15" s="1423"/>
      <c r="G15" s="1423"/>
      <c r="H15" s="1423"/>
      <c r="I15" s="1425"/>
      <c r="J15" s="1150"/>
      <c r="K15" s="1151"/>
      <c r="L15" s="1152"/>
      <c r="M15" s="1143"/>
    </row>
    <row r="16" spans="1:15" s="1070" customFormat="1" ht="15.6" customHeight="1" outlineLevel="1">
      <c r="B16" s="1495" t="s">
        <v>245</v>
      </c>
      <c r="C16" s="1496"/>
      <c r="D16" s="1496"/>
      <c r="E16" s="1496"/>
      <c r="F16" s="1496"/>
      <c r="G16" s="1496"/>
      <c r="H16" s="1496"/>
      <c r="I16" s="1497"/>
      <c r="J16" s="1153"/>
      <c r="K16" s="1154"/>
      <c r="L16" s="1155"/>
      <c r="M16" s="1143"/>
    </row>
    <row r="17" spans="1:38" s="147" customFormat="1" ht="15.6" customHeight="1" outlineLevel="1">
      <c r="B17" s="1252" t="s">
        <v>246</v>
      </c>
      <c r="C17" s="1498"/>
      <c r="D17" s="1499"/>
      <c r="E17" s="1500"/>
      <c r="F17" s="1500"/>
      <c r="G17" s="1500"/>
      <c r="H17" s="1500"/>
      <c r="I17" s="1447"/>
      <c r="J17" s="1137"/>
      <c r="K17" s="1135"/>
      <c r="L17" s="1136"/>
      <c r="AL17"/>
    </row>
    <row r="18" spans="1:38" s="147" customFormat="1" ht="15.6" customHeight="1" outlineLevel="1">
      <c r="B18" s="1253" t="s">
        <v>247</v>
      </c>
      <c r="C18" s="1486"/>
      <c r="D18" s="1487"/>
      <c r="E18" s="1488"/>
      <c r="F18" s="1488"/>
      <c r="G18" s="1488"/>
      <c r="H18" s="1488"/>
      <c r="I18" s="1489"/>
      <c r="J18" s="1137"/>
      <c r="K18" s="1135"/>
      <c r="L18" s="1136"/>
      <c r="AL18"/>
    </row>
    <row r="19" spans="1:38" s="147" customFormat="1" ht="33.6" customHeight="1" outlineLevel="1">
      <c r="B19" s="1254" t="s">
        <v>248</v>
      </c>
      <c r="C19" s="996"/>
      <c r="D19" s="1157" t="s">
        <v>249</v>
      </c>
      <c r="E19" s="1490" t="s">
        <v>250</v>
      </c>
      <c r="F19" s="1490"/>
      <c r="G19" s="1490"/>
      <c r="H19" s="1490"/>
      <c r="I19" s="1491"/>
      <c r="J19" s="1137">
        <f>IF(OR(C19&gt;300000,C19&lt;5000),1,0)</f>
        <v>1</v>
      </c>
      <c r="K19" s="1135" t="s">
        <v>251</v>
      </c>
      <c r="L19" s="1136"/>
      <c r="AL19"/>
    </row>
    <row r="20" spans="1:38" s="147" customFormat="1" ht="15.6" customHeight="1" outlineLevel="1">
      <c r="A20" s="167"/>
      <c r="B20" s="1252" t="s">
        <v>252</v>
      </c>
      <c r="C20" s="996"/>
      <c r="D20" t="s">
        <v>253</v>
      </c>
      <c r="E20" s="1418" t="s">
        <v>254</v>
      </c>
      <c r="F20" s="1418"/>
      <c r="G20" s="1418"/>
      <c r="H20" s="1418"/>
      <c r="I20" s="1419"/>
      <c r="J20" s="1137">
        <f>IF(OR('PA Only - Pre-Inspection'!C31="Yes",'PA Only - Pre-Inspection'!C33="Yes"),1,0)</f>
        <v>0</v>
      </c>
      <c r="K20" s="1135" t="s">
        <v>255</v>
      </c>
      <c r="L20" s="1136"/>
      <c r="AL20"/>
    </row>
    <row r="21" spans="1:38" s="147" customFormat="1" ht="15.6" customHeight="1" outlineLevel="1">
      <c r="A21" s="167"/>
      <c r="B21" s="1252" t="s">
        <v>256</v>
      </c>
      <c r="C21" s="997"/>
      <c r="D21" t="str">
        <f>IFERROR(VLOOKUP($C$18,Tables!$B$10:$D$13,3,FALSE),"-")</f>
        <v>-</v>
      </c>
      <c r="E21" s="1420"/>
      <c r="F21" s="1420"/>
      <c r="G21" s="1420"/>
      <c r="H21" s="1420"/>
      <c r="I21" s="1421"/>
      <c r="J21" s="1137">
        <f>IF(C24="Missing Data",1,0)</f>
        <v>1</v>
      </c>
      <c r="K21" s="1135" t="s">
        <v>257</v>
      </c>
      <c r="L21" s="1136"/>
      <c r="M21" s="328"/>
      <c r="AL21"/>
    </row>
    <row r="22" spans="1:38" s="147" customFormat="1" ht="15.6" customHeight="1" outlineLevel="1">
      <c r="B22" s="1524" t="s">
        <v>258</v>
      </c>
      <c r="C22" s="1525"/>
      <c r="D22" s="1525"/>
      <c r="E22" s="1525"/>
      <c r="F22" s="1525"/>
      <c r="G22" s="1525"/>
      <c r="H22" s="1525"/>
      <c r="I22" s="1526"/>
      <c r="J22" s="1137"/>
      <c r="K22" s="1135"/>
      <c r="L22" s="1136"/>
    </row>
    <row r="23" spans="1:38" s="147" customFormat="1" ht="15.6" customHeight="1" outlineLevel="1">
      <c r="B23" s="1158"/>
      <c r="C23" s="1159" t="s">
        <v>259</v>
      </c>
      <c r="D23" s="1159" t="s">
        <v>260</v>
      </c>
      <c r="E23" s="1160" t="s">
        <v>261</v>
      </c>
      <c r="F23" s="1527" t="s">
        <v>262</v>
      </c>
      <c r="G23" s="1528"/>
      <c r="H23" s="1528"/>
      <c r="I23" s="1529"/>
      <c r="J23" s="1137"/>
      <c r="K23" s="1135"/>
      <c r="L23" s="1136"/>
    </row>
    <row r="24" spans="1:38" s="147" customFormat="1" ht="15.6" customHeight="1" outlineLevel="1">
      <c r="B24" s="1161" t="s">
        <v>263</v>
      </c>
      <c r="C24" s="1162" t="str">
        <f>IFERROR('Project Savings'!J57,"Missing Data")</f>
        <v>Missing Data</v>
      </c>
      <c r="D24" s="1162" t="e">
        <f>'EUI Benchmark'!C44</f>
        <v>#N/A</v>
      </c>
      <c r="E24" s="1157" t="s">
        <v>264</v>
      </c>
      <c r="F24" s="1518" t="str">
        <f>"The Total EUI is"&amp;'EUI Benchmark'!D12</f>
        <v>The Total EUI isProvide requested project information for feedback.</v>
      </c>
      <c r="G24" s="1519"/>
      <c r="H24" s="1519"/>
      <c r="I24" s="1520"/>
      <c r="J24" s="1137"/>
      <c r="K24" s="1135"/>
      <c r="L24" s="1136"/>
    </row>
    <row r="25" spans="1:38" s="147" customFormat="1" ht="15.6" customHeight="1" outlineLevel="1">
      <c r="B25" s="372" t="s">
        <v>265</v>
      </c>
      <c r="C25" s="1163" t="str">
        <f>IFERROR('Project Savings'!J55,"Missing Data")</f>
        <v>Missing Data</v>
      </c>
      <c r="D25" s="1163" t="e">
        <f>'EUI Benchmark'!E44</f>
        <v>#N/A</v>
      </c>
      <c r="E25" s="1157" t="s">
        <v>264</v>
      </c>
      <c r="F25" s="1518" t="str">
        <f>"The Electric EUI is"&amp;'EUI Benchmark'!D13</f>
        <v>The Electric EUI isProvide requested project information for feedback.</v>
      </c>
      <c r="G25" s="1519"/>
      <c r="H25" s="1519"/>
      <c r="I25" s="1520"/>
      <c r="J25" s="1137"/>
      <c r="K25" s="1135"/>
      <c r="L25" s="1136"/>
    </row>
    <row r="26" spans="1:38" s="147" customFormat="1" ht="15.6" customHeight="1" outlineLevel="1">
      <c r="B26" s="373" t="s">
        <v>266</v>
      </c>
      <c r="C26" s="1164" t="str">
        <f>IFERROR('Project Savings'!J56,"Missing Data")</f>
        <v>Missing Data</v>
      </c>
      <c r="D26" s="1164" t="e">
        <f>'EUI Benchmark'!G44</f>
        <v>#N/A</v>
      </c>
      <c r="E26" s="1165" t="s">
        <v>264</v>
      </c>
      <c r="F26" s="1521" t="str">
        <f>"The Fuel EUI is"&amp;'EUI Benchmark'!D14</f>
        <v>The Fuel EUI isProvide requested project information for feedback.</v>
      </c>
      <c r="G26" s="1522"/>
      <c r="H26" s="1522"/>
      <c r="I26" s="1523"/>
      <c r="J26" s="1166"/>
      <c r="K26" s="1167"/>
      <c r="L26" s="1136"/>
      <c r="N26" s="1143"/>
    </row>
    <row r="27" spans="1:38" s="147" customFormat="1" ht="40.5" customHeight="1">
      <c r="A27" s="149" t="s">
        <v>17</v>
      </c>
      <c r="B27" s="335"/>
      <c r="C27" s="1168"/>
      <c r="D27" s="1168"/>
      <c r="F27" s="1147"/>
      <c r="G27" s="1147"/>
      <c r="H27" s="1147"/>
      <c r="I27" s="1147"/>
      <c r="J27" s="1169"/>
      <c r="K27" s="1136"/>
      <c r="N27" s="1143"/>
    </row>
    <row r="28" spans="1:38" s="147" customFormat="1" ht="17.45" customHeight="1">
      <c r="B28" s="1149" t="s">
        <v>243</v>
      </c>
      <c r="C28" s="1397" t="s">
        <v>226</v>
      </c>
      <c r="D28" s="1399"/>
      <c r="E28" s="1423" t="s">
        <v>267</v>
      </c>
      <c r="F28" s="1423"/>
      <c r="G28" s="1423"/>
      <c r="H28" s="1423"/>
      <c r="I28" s="1425"/>
      <c r="J28" s="1169"/>
      <c r="K28" s="1136"/>
      <c r="N28" s="1143"/>
    </row>
    <row r="29" spans="1:38" s="147" customFormat="1" ht="17.45" customHeight="1">
      <c r="B29" s="1536" t="s">
        <v>268</v>
      </c>
      <c r="C29" s="1537"/>
      <c r="D29" s="1537"/>
      <c r="E29" s="1537"/>
      <c r="F29" s="1537"/>
      <c r="G29" s="1537"/>
      <c r="H29" s="1537"/>
      <c r="I29" s="1538"/>
      <c r="J29" s="1169"/>
      <c r="K29" s="1136"/>
      <c r="N29" s="1143"/>
    </row>
    <row r="30" spans="1:38" s="147" customFormat="1" ht="56.1" customHeight="1">
      <c r="B30" s="1170" t="s">
        <v>269</v>
      </c>
      <c r="C30" s="1542" t="s">
        <v>270</v>
      </c>
      <c r="D30" s="1542"/>
      <c r="E30" s="1532" t="str">
        <f>IFERROR(VLOOKUP(C30,Tables!H17:J20,3,FALSE),"")</f>
        <v/>
      </c>
      <c r="F30" s="1533"/>
      <c r="G30" s="1533"/>
      <c r="H30" s="1533"/>
      <c r="I30" s="1223" t="s">
        <v>271</v>
      </c>
      <c r="J30" s="1169">
        <f>VLOOKUP(C30,'Equipment and SOO'!$B$79:$C$83,2,FALSE)</f>
        <v>0</v>
      </c>
      <c r="K30" s="1136" t="s">
        <v>272</v>
      </c>
      <c r="N30" s="1239"/>
    </row>
    <row r="31" spans="1:38" s="147" customFormat="1" ht="78" customHeight="1">
      <c r="B31" s="1171" t="s">
        <v>273</v>
      </c>
      <c r="C31" s="1545" t="s">
        <v>274</v>
      </c>
      <c r="D31" s="1545"/>
      <c r="E31" s="1534" t="s">
        <v>275</v>
      </c>
      <c r="F31" s="1534"/>
      <c r="G31" s="1534"/>
      <c r="H31" s="1535"/>
      <c r="I31" s="1238" t="s">
        <v>276</v>
      </c>
      <c r="J31" s="1169">
        <f>IF(C31="No",0,1)</f>
        <v>1</v>
      </c>
      <c r="K31" s="1136" t="s">
        <v>277</v>
      </c>
      <c r="M31" s="167"/>
      <c r="N31" s="1143"/>
    </row>
    <row r="32" spans="1:38" s="147" customFormat="1" ht="50.1" customHeight="1">
      <c r="B32" s="1539" t="s">
        <v>278</v>
      </c>
      <c r="C32" s="1540"/>
      <c r="D32" s="1540"/>
      <c r="E32" s="1540"/>
      <c r="F32" s="1540"/>
      <c r="G32" s="1540"/>
      <c r="H32" s="1540"/>
      <c r="I32" s="1541"/>
      <c r="J32" s="1169"/>
      <c r="K32" s="1136"/>
      <c r="N32" s="1143"/>
    </row>
    <row r="33" spans="1:38" s="147" customFormat="1" ht="17.45" customHeight="1" outlineLevel="1">
      <c r="B33" s="1248" t="s">
        <v>279</v>
      </c>
      <c r="C33" s="1543" t="s">
        <v>280</v>
      </c>
      <c r="D33" s="1544"/>
      <c r="E33" s="1463"/>
      <c r="F33" s="1464"/>
      <c r="G33" s="1464"/>
      <c r="H33" s="1464"/>
      <c r="I33" s="1465"/>
      <c r="J33" s="1169">
        <f>1-J38</f>
        <v>1</v>
      </c>
      <c r="K33" s="1136" t="s">
        <v>281</v>
      </c>
      <c r="N33" s="1143"/>
    </row>
    <row r="34" spans="1:38" s="147" customFormat="1" ht="17.45" customHeight="1" outlineLevel="1">
      <c r="B34" s="1248" t="s">
        <v>282</v>
      </c>
      <c r="C34" s="1461"/>
      <c r="D34" s="1462"/>
      <c r="E34" s="1463"/>
      <c r="F34" s="1464"/>
      <c r="G34" s="1464"/>
      <c r="H34" s="1464"/>
      <c r="I34" s="1465"/>
      <c r="J34" s="1169">
        <f>IF((C34)=0,1,0)*J33</f>
        <v>1</v>
      </c>
      <c r="K34" s="1136" t="s">
        <v>283</v>
      </c>
      <c r="N34" s="1143"/>
    </row>
    <row r="35" spans="1:38" s="147" customFormat="1" ht="33.6" customHeight="1" outlineLevel="1">
      <c r="B35" s="1248" t="s">
        <v>284</v>
      </c>
      <c r="C35" s="1452" t="s">
        <v>285</v>
      </c>
      <c r="D35" s="1453"/>
      <c r="E35" s="1453"/>
      <c r="F35" s="1453"/>
      <c r="G35" s="1453"/>
      <c r="H35" s="1453"/>
      <c r="I35" s="1454"/>
      <c r="J35" s="1169"/>
      <c r="K35" s="1136"/>
      <c r="N35" s="1143"/>
    </row>
    <row r="36" spans="1:38" s="147" customFormat="1" ht="45" customHeight="1">
      <c r="B36" s="1536" t="s">
        <v>286</v>
      </c>
      <c r="C36" s="1537"/>
      <c r="D36" s="1537"/>
      <c r="E36" s="1537"/>
      <c r="F36" s="1537"/>
      <c r="G36" s="1537"/>
      <c r="H36" s="1537"/>
      <c r="I36" s="1538"/>
      <c r="J36" s="1169"/>
      <c r="K36" s="1136"/>
    </row>
    <row r="37" spans="1:38" s="147" customFormat="1" ht="39.6" customHeight="1" outlineLevel="2">
      <c r="B37" s="1249" t="s">
        <v>287</v>
      </c>
      <c r="C37" s="1460"/>
      <c r="D37" s="1460"/>
      <c r="E37" s="1466" t="str">
        <f>IF(J37=1,L37,"")</f>
        <v/>
      </c>
      <c r="F37" s="1467"/>
      <c r="G37" s="1468"/>
      <c r="H37" s="1243" t="s">
        <v>288</v>
      </c>
      <c r="I37" s="1242" t="s">
        <v>289</v>
      </c>
      <c r="J37" s="1169">
        <f>IF(OR(J30&lt;&gt;1,C37="Yes"),0,1)</f>
        <v>0</v>
      </c>
      <c r="K37" s="1136" t="s">
        <v>290</v>
      </c>
      <c r="L37" s="147" t="s">
        <v>291</v>
      </c>
      <c r="M37" s="167"/>
      <c r="N37" s="1143"/>
    </row>
    <row r="38" spans="1:38" s="147" customFormat="1" ht="17.45" customHeight="1" outlineLevel="2">
      <c r="B38" s="1250" t="s">
        <v>292</v>
      </c>
      <c r="C38" s="1455" t="s">
        <v>280</v>
      </c>
      <c r="D38" s="1455"/>
      <c r="E38" s="1458" t="s">
        <v>293</v>
      </c>
      <c r="F38" s="1458"/>
      <c r="G38" s="1458"/>
      <c r="H38" s="1458"/>
      <c r="I38" s="1459"/>
      <c r="J38" s="1169">
        <f>IF(J30=1,1,0)</f>
        <v>0</v>
      </c>
      <c r="K38" s="1136" t="s">
        <v>294</v>
      </c>
      <c r="M38" s="167"/>
      <c r="N38" s="1143"/>
    </row>
    <row r="39" spans="1:38" s="147" customFormat="1" ht="65.099999999999994" customHeight="1" outlineLevel="2">
      <c r="A39" s="167"/>
      <c r="B39" s="1250" t="s">
        <v>295</v>
      </c>
      <c r="C39" s="1455"/>
      <c r="D39" s="1455"/>
      <c r="E39" s="1458" t="s">
        <v>296</v>
      </c>
      <c r="F39" s="1458"/>
      <c r="G39" s="1458"/>
      <c r="H39" s="1458"/>
      <c r="I39" s="1459"/>
      <c r="J39" s="1169">
        <f>IF(SUM(C42:D43)=0,1,0)*J38</f>
        <v>0</v>
      </c>
      <c r="K39" s="1136" t="s">
        <v>297</v>
      </c>
      <c r="M39" s="167"/>
      <c r="N39" s="1143"/>
    </row>
    <row r="40" spans="1:38" s="147" customFormat="1" ht="32.1" customHeight="1" outlineLevel="2">
      <c r="B40" s="1250" t="s">
        <v>298</v>
      </c>
      <c r="C40" s="1455"/>
      <c r="D40" s="1455"/>
      <c r="E40" s="1456"/>
      <c r="F40" s="1456"/>
      <c r="G40" s="1456"/>
      <c r="H40" s="1456"/>
      <c r="I40" s="1457"/>
      <c r="J40" s="1169"/>
      <c r="K40" s="1136"/>
      <c r="N40" s="1143"/>
    </row>
    <row r="41" spans="1:38" s="147" customFormat="1" ht="32.1" customHeight="1" outlineLevel="2">
      <c r="B41" s="1250" t="s">
        <v>299</v>
      </c>
      <c r="C41" s="1455"/>
      <c r="D41" s="1455"/>
      <c r="E41" s="1456"/>
      <c r="F41" s="1456"/>
      <c r="G41" s="1456"/>
      <c r="H41" s="1456"/>
      <c r="I41" s="1457"/>
      <c r="J41" s="1169"/>
      <c r="K41" s="1136"/>
      <c r="N41" s="1143"/>
    </row>
    <row r="42" spans="1:38" s="147" customFormat="1" ht="30.6" customHeight="1" outlineLevel="2">
      <c r="B42" s="1250" t="s">
        <v>300</v>
      </c>
      <c r="C42" s="1451"/>
      <c r="D42" s="1451"/>
      <c r="E42" s="1456"/>
      <c r="F42" s="1456"/>
      <c r="G42" s="1456"/>
      <c r="H42" s="1456"/>
      <c r="I42" s="1457"/>
      <c r="J42" s="1169"/>
      <c r="K42" s="1136"/>
      <c r="N42" s="1143"/>
    </row>
    <row r="43" spans="1:38" s="147" customFormat="1" ht="17.45" customHeight="1" outlineLevel="2">
      <c r="B43" s="1250" t="s">
        <v>301</v>
      </c>
      <c r="C43" s="1451"/>
      <c r="D43" s="1451"/>
      <c r="E43" s="1456" t="s">
        <v>302</v>
      </c>
      <c r="F43" s="1456"/>
      <c r="G43" s="1456"/>
      <c r="H43" s="1456"/>
      <c r="I43" s="1457"/>
      <c r="J43" s="1169"/>
      <c r="K43" s="1136"/>
      <c r="N43" s="1143"/>
    </row>
    <row r="44" spans="1:38" s="147" customFormat="1" ht="44.1" customHeight="1" outlineLevel="2">
      <c r="B44" s="1251" t="s">
        <v>284</v>
      </c>
      <c r="C44" s="1433" t="s">
        <v>303</v>
      </c>
      <c r="D44" s="1433"/>
      <c r="E44" s="1433"/>
      <c r="F44" s="1433"/>
      <c r="G44" s="1433"/>
      <c r="H44" s="1433"/>
      <c r="I44" s="1434"/>
      <c r="J44" s="1169"/>
      <c r="K44" s="1136"/>
      <c r="N44" s="1143"/>
    </row>
    <row r="45" spans="1:38" s="147" customFormat="1" ht="39.950000000000003" customHeight="1">
      <c r="A45" s="149" t="s">
        <v>304</v>
      </c>
      <c r="B45" s="335"/>
      <c r="C45" s="1168"/>
      <c r="D45" s="1168"/>
      <c r="F45" s="1147"/>
      <c r="G45" s="1147"/>
      <c r="H45" s="1147"/>
      <c r="I45" s="1147"/>
      <c r="J45" s="1169"/>
      <c r="K45" s="1136"/>
      <c r="N45" s="1143"/>
    </row>
    <row r="46" spans="1:38" s="1070" customFormat="1" ht="32.450000000000003" customHeight="1">
      <c r="B46" s="1149" t="s">
        <v>243</v>
      </c>
      <c r="C46" s="1397" t="s">
        <v>226</v>
      </c>
      <c r="D46" s="1398"/>
      <c r="E46" s="1398"/>
      <c r="F46" s="1398"/>
      <c r="G46" s="1399"/>
      <c r="H46" s="1172" t="s">
        <v>244</v>
      </c>
      <c r="I46" s="1173"/>
      <c r="J46" s="1150"/>
      <c r="K46" s="1151"/>
      <c r="L46" s="1152"/>
      <c r="M46" s="1143"/>
    </row>
    <row r="47" spans="1:38" s="147" customFormat="1" ht="30" customHeight="1">
      <c r="A47" s="1174"/>
      <c r="B47" s="1428" t="s">
        <v>305</v>
      </c>
      <c r="C47" s="1429"/>
      <c r="D47" s="1429"/>
      <c r="E47" s="1429"/>
      <c r="F47" s="1429"/>
      <c r="G47" s="1429"/>
      <c r="H47" s="1429"/>
      <c r="I47" s="1430"/>
      <c r="J47" s="1137"/>
      <c r="K47" s="1135"/>
      <c r="L47" s="1136"/>
      <c r="M47" s="328"/>
      <c r="AL47"/>
    </row>
    <row r="48" spans="1:38" s="147" customFormat="1" ht="15.6" customHeight="1">
      <c r="B48" s="1175"/>
      <c r="C48" s="1176" t="s">
        <v>306</v>
      </c>
      <c r="D48" s="1176" t="s">
        <v>307</v>
      </c>
      <c r="E48" s="1176" t="s">
        <v>308</v>
      </c>
      <c r="F48" s="1176" t="s">
        <v>309</v>
      </c>
      <c r="G48" s="1176" t="s">
        <v>310</v>
      </c>
      <c r="H48" s="1177" t="s">
        <v>311</v>
      </c>
      <c r="I48" s="1178"/>
      <c r="J48" s="1137"/>
      <c r="K48" s="1135"/>
      <c r="L48" s="1136"/>
      <c r="AL48"/>
    </row>
    <row r="49" spans="1:38" s="147" customFormat="1" ht="29.45" customHeight="1">
      <c r="B49" s="1255" t="s">
        <v>312</v>
      </c>
      <c r="C49" s="504"/>
      <c r="D49" s="865"/>
      <c r="E49" s="865"/>
      <c r="F49" s="865"/>
      <c r="G49" s="865"/>
      <c r="H49" s="1180">
        <f>SUM(C49:G49)</f>
        <v>0</v>
      </c>
      <c r="I49" s="1181" t="s">
        <v>313</v>
      </c>
      <c r="J49" s="1137">
        <f>IF(C87&gt;C19,1,0)</f>
        <v>0</v>
      </c>
      <c r="K49" s="1135" t="s">
        <v>314</v>
      </c>
      <c r="L49" s="1136"/>
    </row>
    <row r="50" spans="1:38" s="147" customFormat="1" ht="29.45" customHeight="1">
      <c r="B50" s="1255" t="s">
        <v>315</v>
      </c>
      <c r="C50" s="1260" t="s">
        <v>316</v>
      </c>
      <c r="D50" s="1260" t="s">
        <v>317</v>
      </c>
      <c r="E50" s="1260" t="s">
        <v>318</v>
      </c>
      <c r="F50" s="1260" t="s">
        <v>319</v>
      </c>
      <c r="G50" s="1260" t="s">
        <v>320</v>
      </c>
      <c r="H50" s="1514" t="s">
        <v>321</v>
      </c>
      <c r="I50" s="1515"/>
      <c r="J50" s="1137"/>
      <c r="K50" s="1135"/>
      <c r="L50" s="1136"/>
    </row>
    <row r="51" spans="1:38" s="147" customFormat="1" ht="36.6" customHeight="1">
      <c r="B51" s="1253" t="s">
        <v>322</v>
      </c>
      <c r="C51" s="954" t="s">
        <v>323</v>
      </c>
      <c r="D51" s="954" t="s">
        <v>323</v>
      </c>
      <c r="E51" s="954" t="s">
        <v>323</v>
      </c>
      <c r="F51" s="954" t="s">
        <v>323</v>
      </c>
      <c r="G51" s="954" t="s">
        <v>323</v>
      </c>
      <c r="H51" s="1516"/>
      <c r="I51" s="1511"/>
      <c r="J51" s="1137"/>
      <c r="K51" s="1135"/>
      <c r="L51" s="1136"/>
    </row>
    <row r="52" spans="1:38" s="147" customFormat="1" ht="35.450000000000003" customHeight="1">
      <c r="B52" s="1256" t="s">
        <v>324</v>
      </c>
      <c r="C52" s="954" t="s">
        <v>325</v>
      </c>
      <c r="D52" s="954" t="s">
        <v>325</v>
      </c>
      <c r="E52" s="954" t="s">
        <v>325</v>
      </c>
      <c r="F52" s="954" t="s">
        <v>325</v>
      </c>
      <c r="G52" s="954" t="s">
        <v>325</v>
      </c>
      <c r="H52" s="1517"/>
      <c r="I52" s="1513"/>
      <c r="J52" s="1137"/>
      <c r="K52" s="1135"/>
      <c r="L52" s="1136"/>
    </row>
    <row r="53" spans="1:38" s="147" customFormat="1" ht="23.1" customHeight="1">
      <c r="A53" s="1174"/>
      <c r="B53" s="1530" t="s">
        <v>326</v>
      </c>
      <c r="C53" s="1431"/>
      <c r="D53" s="1431"/>
      <c r="E53" s="1431"/>
      <c r="F53" s="1431"/>
      <c r="G53" s="1431"/>
      <c r="H53" s="1431"/>
      <c r="I53" s="1531"/>
      <c r="J53" s="1137" t="s">
        <v>327</v>
      </c>
      <c r="K53" s="1135" t="s">
        <v>328</v>
      </c>
      <c r="L53" s="1182" t="s">
        <v>329</v>
      </c>
      <c r="M53" s="328"/>
      <c r="AL53"/>
    </row>
    <row r="54" spans="1:38" s="147" customFormat="1" ht="42.95" customHeight="1">
      <c r="A54" s="167"/>
      <c r="B54" s="1253" t="s">
        <v>330</v>
      </c>
      <c r="C54" s="1260" t="s">
        <v>331</v>
      </c>
      <c r="D54" s="1260" t="s">
        <v>331</v>
      </c>
      <c r="E54" s="1260" t="s">
        <v>331</v>
      </c>
      <c r="F54" s="1260" t="s">
        <v>331</v>
      </c>
      <c r="G54" s="1260" t="s">
        <v>331</v>
      </c>
      <c r="H54" s="1508" t="s">
        <v>332</v>
      </c>
      <c r="I54" s="1509"/>
      <c r="J54" s="1137"/>
      <c r="K54" s="1135" t="s">
        <v>333</v>
      </c>
      <c r="L54" s="1179" t="s">
        <v>329</v>
      </c>
    </row>
    <row r="55" spans="1:38" s="147" customFormat="1" ht="44.45" customHeight="1">
      <c r="A55" s="1174"/>
      <c r="B55" s="1253" t="s">
        <v>334</v>
      </c>
      <c r="C55" s="1260" t="s">
        <v>331</v>
      </c>
      <c r="D55" s="1260" t="s">
        <v>331</v>
      </c>
      <c r="E55" s="1260" t="s">
        <v>331</v>
      </c>
      <c r="F55" s="1260" t="s">
        <v>331</v>
      </c>
      <c r="G55" s="1260" t="s">
        <v>331</v>
      </c>
      <c r="H55" s="1510"/>
      <c r="I55" s="1511"/>
      <c r="J55" s="1137"/>
      <c r="K55" s="1135"/>
      <c r="L55" s="1136"/>
    </row>
    <row r="56" spans="1:38" s="147" customFormat="1" ht="41.45" customHeight="1">
      <c r="A56" s="1174"/>
      <c r="B56" s="1256" t="s">
        <v>335</v>
      </c>
      <c r="C56" s="1260" t="s">
        <v>331</v>
      </c>
      <c r="D56" s="1260" t="s">
        <v>331</v>
      </c>
      <c r="E56" s="1260" t="s">
        <v>331</v>
      </c>
      <c r="F56" s="1260" t="s">
        <v>331</v>
      </c>
      <c r="G56" s="1260" t="s">
        <v>331</v>
      </c>
      <c r="H56" s="1510"/>
      <c r="I56" s="1511"/>
      <c r="J56" s="1137"/>
      <c r="K56" s="1135"/>
      <c r="L56" s="1136"/>
    </row>
    <row r="57" spans="1:38" s="147" customFormat="1" ht="38.450000000000003" customHeight="1">
      <c r="A57" s="167"/>
      <c r="B57" s="1253" t="s">
        <v>336</v>
      </c>
      <c r="C57" s="1260" t="s">
        <v>331</v>
      </c>
      <c r="D57" s="1260" t="s">
        <v>331</v>
      </c>
      <c r="E57" s="1260" t="s">
        <v>331</v>
      </c>
      <c r="F57" s="1260" t="s">
        <v>331</v>
      </c>
      <c r="G57" s="1260" t="s">
        <v>331</v>
      </c>
      <c r="H57" s="1510"/>
      <c r="I57" s="1511"/>
      <c r="J57" s="1137"/>
      <c r="K57" s="1135"/>
      <c r="L57" s="1136"/>
    </row>
    <row r="58" spans="1:38" s="147" customFormat="1" ht="30" customHeight="1">
      <c r="A58" s="167"/>
      <c r="B58" s="1253" t="s">
        <v>337</v>
      </c>
      <c r="C58" s="1260" t="s">
        <v>331</v>
      </c>
      <c r="D58" s="1260" t="s">
        <v>331</v>
      </c>
      <c r="E58" s="1260" t="s">
        <v>331</v>
      </c>
      <c r="F58" s="1260" t="s">
        <v>331</v>
      </c>
      <c r="G58" s="1260" t="s">
        <v>331</v>
      </c>
      <c r="H58" s="1512"/>
      <c r="I58" s="1513"/>
      <c r="J58" s="1137"/>
      <c r="K58" s="1135" t="s">
        <v>338</v>
      </c>
      <c r="L58" s="1136"/>
    </row>
    <row r="59" spans="1:38" s="147" customFormat="1" ht="31.5" customHeight="1">
      <c r="B59" s="1428" t="s">
        <v>339</v>
      </c>
      <c r="C59" s="1431"/>
      <c r="D59" s="1431"/>
      <c r="E59" s="1431"/>
      <c r="F59" s="1431"/>
      <c r="G59" s="1431"/>
      <c r="H59" s="1183"/>
      <c r="I59" s="1184"/>
      <c r="J59" s="1185" t="s">
        <v>340</v>
      </c>
      <c r="K59" s="1135"/>
      <c r="L59" s="1135" t="s">
        <v>341</v>
      </c>
    </row>
    <row r="60" spans="1:38" s="147" customFormat="1" ht="15.6" customHeight="1">
      <c r="B60" s="1257" t="s">
        <v>342</v>
      </c>
      <c r="C60" s="1039">
        <v>0</v>
      </c>
      <c r="D60" s="1039">
        <v>0</v>
      </c>
      <c r="E60" s="1039">
        <v>0</v>
      </c>
      <c r="F60" s="1039">
        <v>0</v>
      </c>
      <c r="G60" s="1039">
        <v>0</v>
      </c>
      <c r="H60" s="1502" t="s">
        <v>343</v>
      </c>
      <c r="I60" s="1503"/>
      <c r="J60" s="1137">
        <f>IF(SUMPRODUCT(C60:G60,'Project Savings'!D35:H35,'Project Savings'!$D$11:$H$11)&gt;=1,1,0)</f>
        <v>0</v>
      </c>
      <c r="K60" s="1134"/>
      <c r="L60" s="1135" t="s">
        <v>344</v>
      </c>
    </row>
    <row r="61" spans="1:38" s="147" customFormat="1" ht="15.6" customHeight="1">
      <c r="B61" s="1257" t="s">
        <v>345</v>
      </c>
      <c r="C61" s="1039">
        <v>0</v>
      </c>
      <c r="D61" s="1039">
        <v>0</v>
      </c>
      <c r="E61" s="1039">
        <v>0</v>
      </c>
      <c r="F61" s="1039">
        <v>0</v>
      </c>
      <c r="G61" s="1039">
        <v>0</v>
      </c>
      <c r="H61" s="1504"/>
      <c r="I61" s="1505"/>
      <c r="J61" s="1137">
        <f>IF(SUMPRODUCT(C61:G61,'Project Savings'!D36:H36,'Project Savings'!$D$11:$H$11)&gt;=1,1,0)</f>
        <v>0</v>
      </c>
      <c r="K61" s="1134"/>
      <c r="L61" s="1135" t="s">
        <v>344</v>
      </c>
    </row>
    <row r="62" spans="1:38" s="147" customFormat="1" ht="15.6" customHeight="1">
      <c r="B62" s="1257" t="s">
        <v>160</v>
      </c>
      <c r="C62" s="1039">
        <v>0</v>
      </c>
      <c r="D62" s="1039">
        <v>0</v>
      </c>
      <c r="E62" s="1039">
        <v>0</v>
      </c>
      <c r="F62" s="1039">
        <v>0</v>
      </c>
      <c r="G62" s="1039">
        <v>0</v>
      </c>
      <c r="H62" s="1504"/>
      <c r="I62" s="1505"/>
      <c r="J62" s="1137">
        <f>IF(SUMPRODUCT(C62:G62,'Project Savings'!D37:H37,'Project Savings'!$D$11:$H$11)&gt;=1,1,0)</f>
        <v>0</v>
      </c>
      <c r="K62" s="1134"/>
      <c r="L62" s="1135" t="s">
        <v>346</v>
      </c>
    </row>
    <row r="63" spans="1:38" s="147" customFormat="1" ht="15.6" customHeight="1">
      <c r="B63" s="1257" t="s">
        <v>175</v>
      </c>
      <c r="C63" s="1039">
        <v>0</v>
      </c>
      <c r="D63" s="1039">
        <v>0</v>
      </c>
      <c r="E63" s="1039">
        <v>0</v>
      </c>
      <c r="F63" s="1039">
        <v>0</v>
      </c>
      <c r="G63" s="1039">
        <v>0</v>
      </c>
      <c r="H63" s="1504"/>
      <c r="I63" s="1505"/>
      <c r="J63" s="1137">
        <f>IF(SUMPRODUCT(C63:G63,'Project Savings'!D38:H38,'Project Savings'!$D$11:$H$11)&gt;=1,1,0)</f>
        <v>0</v>
      </c>
      <c r="K63" s="1134"/>
      <c r="L63" s="1135" t="s">
        <v>347</v>
      </c>
    </row>
    <row r="64" spans="1:38" s="147" customFormat="1" ht="15.6" customHeight="1">
      <c r="B64" s="1257" t="s">
        <v>151</v>
      </c>
      <c r="C64" s="1039">
        <v>0</v>
      </c>
      <c r="D64" s="1039">
        <v>0</v>
      </c>
      <c r="E64" s="1039">
        <v>0</v>
      </c>
      <c r="F64" s="1039">
        <v>0</v>
      </c>
      <c r="G64" s="1039">
        <v>0</v>
      </c>
      <c r="H64" s="1504"/>
      <c r="I64" s="1505"/>
      <c r="J64" s="1137">
        <f>IF(SUMPRODUCT(C64:G64,'Project Savings'!D39:H39,'Project Savings'!$D$11:$H$11)&gt;=1,1,0)</f>
        <v>0</v>
      </c>
      <c r="K64" s="1134"/>
      <c r="L64" s="1135" t="s">
        <v>348</v>
      </c>
    </row>
    <row r="65" spans="1:15" s="147" customFormat="1" ht="15.6" customHeight="1">
      <c r="B65" s="1257" t="s">
        <v>349</v>
      </c>
      <c r="C65" s="1039">
        <v>0</v>
      </c>
      <c r="D65" s="1039">
        <v>0</v>
      </c>
      <c r="E65" s="1039">
        <v>0</v>
      </c>
      <c r="F65" s="1039">
        <v>0</v>
      </c>
      <c r="G65" s="1039">
        <v>0</v>
      </c>
      <c r="H65" s="1504"/>
      <c r="I65" s="1505"/>
      <c r="J65" s="1137">
        <f>IF(SUMPRODUCT(C65:G65,'Project Savings'!D40:H40,'Project Savings'!$D$11:$H$11)&gt;=1,1,0)</f>
        <v>0</v>
      </c>
      <c r="K65" s="1134"/>
      <c r="L65" s="1135" t="s">
        <v>350</v>
      </c>
    </row>
    <row r="66" spans="1:15" s="147" customFormat="1" ht="15.6" customHeight="1">
      <c r="B66" s="1257" t="s">
        <v>177</v>
      </c>
      <c r="C66" s="1039">
        <v>0</v>
      </c>
      <c r="D66" s="1039">
        <v>0</v>
      </c>
      <c r="E66" s="1039">
        <v>0</v>
      </c>
      <c r="F66" s="1039">
        <v>0</v>
      </c>
      <c r="G66" s="1039">
        <v>0</v>
      </c>
      <c r="H66" s="1504"/>
      <c r="I66" s="1505"/>
      <c r="J66" s="1137">
        <f>IF(SUMPRODUCT(C66:G66,'Project Savings'!D41:H41,'Project Savings'!$D$11:$H$11)&gt;=1,1,0)</f>
        <v>0</v>
      </c>
      <c r="K66" s="1134"/>
      <c r="L66" s="1135" t="s">
        <v>351</v>
      </c>
    </row>
    <row r="67" spans="1:15" s="147" customFormat="1" ht="15.6" customHeight="1">
      <c r="B67" s="1257" t="s">
        <v>352</v>
      </c>
      <c r="C67" s="1039">
        <v>0</v>
      </c>
      <c r="D67" s="1039">
        <v>0</v>
      </c>
      <c r="E67" s="1039">
        <v>0</v>
      </c>
      <c r="F67" s="1039">
        <v>0</v>
      </c>
      <c r="G67" s="1039">
        <v>0</v>
      </c>
      <c r="H67" s="1504"/>
      <c r="I67" s="1505"/>
      <c r="J67" s="1137">
        <f>IF(SUMPRODUCT(C67:G67,'Project Savings'!D42:H42,'Project Savings'!$D$11:$H$11)&gt;=1,1,0)</f>
        <v>0</v>
      </c>
      <c r="K67" s="1134"/>
      <c r="L67" s="1135" t="s">
        <v>350</v>
      </c>
    </row>
    <row r="68" spans="1:15" s="147" customFormat="1" ht="15.95" customHeight="1">
      <c r="B68" s="1258" t="s">
        <v>162</v>
      </c>
      <c r="C68" s="1040">
        <v>0</v>
      </c>
      <c r="D68" s="1040">
        <v>0</v>
      </c>
      <c r="E68" s="1040">
        <v>0</v>
      </c>
      <c r="F68" s="1040">
        <v>0</v>
      </c>
      <c r="G68" s="1040">
        <v>0</v>
      </c>
      <c r="H68" s="1506"/>
      <c r="I68" s="1507"/>
      <c r="J68" s="1137">
        <f>IF(SUMPRODUCT(C68:G68,'Project Savings'!D43:H43,'Project Savings'!$D$11:$H$11)&gt;=1,1,0)</f>
        <v>0</v>
      </c>
      <c r="K68" s="1134"/>
      <c r="L68" s="1135" t="s">
        <v>346</v>
      </c>
      <c r="N68" s="1143"/>
    </row>
    <row r="69" spans="1:15" s="147" customFormat="1" ht="42.6" customHeight="1">
      <c r="B69" s="1448" t="s">
        <v>353</v>
      </c>
      <c r="C69" s="1449"/>
      <c r="D69" s="1449"/>
      <c r="E69" s="1449"/>
      <c r="F69" s="1449"/>
      <c r="G69" s="1449"/>
      <c r="H69" s="1449"/>
      <c r="I69" s="1450"/>
      <c r="J69" s="1137"/>
      <c r="K69" s="1135"/>
      <c r="L69" s="1135"/>
    </row>
    <row r="70" spans="1:15" s="147" customFormat="1" ht="15.6" customHeight="1">
      <c r="B70" s="1255" t="s">
        <v>354</v>
      </c>
      <c r="C70" s="1260">
        <v>0</v>
      </c>
      <c r="D70" s="1260">
        <v>0</v>
      </c>
      <c r="E70" s="1260">
        <v>0</v>
      </c>
      <c r="F70" s="1260">
        <v>0</v>
      </c>
      <c r="G70" s="1260">
        <v>0</v>
      </c>
      <c r="H70" s="1435" t="s">
        <v>355</v>
      </c>
      <c r="I70" s="1436"/>
      <c r="J70" s="1137"/>
      <c r="K70" s="1134"/>
      <c r="L70" s="1135"/>
    </row>
    <row r="71" spans="1:15" s="147" customFormat="1" ht="15.6" customHeight="1">
      <c r="B71" s="1255" t="s">
        <v>356</v>
      </c>
      <c r="C71" s="1260">
        <v>0</v>
      </c>
      <c r="D71" s="1260">
        <v>0</v>
      </c>
      <c r="E71" s="1260">
        <v>0</v>
      </c>
      <c r="F71" s="1260">
        <v>0</v>
      </c>
      <c r="G71" s="1260">
        <v>0</v>
      </c>
      <c r="H71" s="1437"/>
      <c r="I71" s="1438"/>
      <c r="J71" s="1137"/>
      <c r="K71" s="1134"/>
      <c r="L71" s="1135"/>
    </row>
    <row r="72" spans="1:15" s="147" customFormat="1" ht="28.5" customHeight="1">
      <c r="B72" s="1259" t="s">
        <v>357</v>
      </c>
      <c r="C72" s="955">
        <v>0</v>
      </c>
      <c r="D72" s="955">
        <v>0</v>
      </c>
      <c r="E72" s="955">
        <v>0</v>
      </c>
      <c r="F72" s="955">
        <v>0</v>
      </c>
      <c r="G72" s="955">
        <v>0</v>
      </c>
      <c r="H72" s="1439"/>
      <c r="I72" s="1440"/>
      <c r="J72" s="1137"/>
      <c r="K72" s="1134"/>
      <c r="L72" s="1135"/>
    </row>
    <row r="73" spans="1:15" s="147" customFormat="1" ht="28.5" customHeight="1">
      <c r="B73" s="1448" t="s">
        <v>358</v>
      </c>
      <c r="C73" s="1449"/>
      <c r="D73" s="1449"/>
      <c r="E73" s="1449"/>
      <c r="F73" s="1449"/>
      <c r="G73" s="1449"/>
      <c r="H73" s="1449"/>
      <c r="I73" s="1450"/>
      <c r="J73" s="1137"/>
      <c r="K73" s="1134"/>
      <c r="L73" s="1136"/>
    </row>
    <row r="74" spans="1:15" s="147" customFormat="1" ht="28.5" customHeight="1">
      <c r="B74" s="1285" t="s">
        <v>359</v>
      </c>
      <c r="C74" s="1286">
        <f>IFERROR('Project Savings'!D139,0)</f>
        <v>0</v>
      </c>
      <c r="D74" s="1286">
        <f>IFERROR('Project Savings'!E139,0)</f>
        <v>0</v>
      </c>
      <c r="E74" s="1286">
        <f>IFERROR('Project Savings'!F139,0)</f>
        <v>0</v>
      </c>
      <c r="F74" s="1286">
        <f>IFERROR('Project Savings'!G139,0)</f>
        <v>0</v>
      </c>
      <c r="G74" s="1286">
        <f>IFERROR('Project Savings'!H139,0)</f>
        <v>0</v>
      </c>
      <c r="H74" s="1546" t="s">
        <v>360</v>
      </c>
      <c r="I74" s="1547"/>
      <c r="J74" s="1137"/>
      <c r="K74" s="1134"/>
      <c r="L74" s="1135"/>
    </row>
    <row r="75" spans="1:15" s="1070" customFormat="1" ht="37.5" customHeight="1">
      <c r="A75" s="149" t="s">
        <v>361</v>
      </c>
      <c r="B75" s="1147"/>
      <c r="E75" s="1143"/>
      <c r="G75" s="1143"/>
      <c r="I75" s="1143"/>
      <c r="J75" s="1148"/>
      <c r="K75" s="1145"/>
      <c r="L75" s="1146"/>
      <c r="M75" s="1143"/>
      <c r="N75" s="1143"/>
      <c r="O75" s="1143"/>
    </row>
    <row r="76" spans="1:15" s="1070" customFormat="1" ht="21.6" customHeight="1">
      <c r="B76" s="1229"/>
      <c r="C76" s="1572" t="s">
        <v>362</v>
      </c>
      <c r="D76" s="1398"/>
      <c r="E76" s="1398"/>
      <c r="F76" s="1398"/>
      <c r="G76" s="1398"/>
      <c r="H76" s="1432" t="s">
        <v>267</v>
      </c>
      <c r="I76" s="1425"/>
      <c r="J76" s="1150"/>
      <c r="K76" s="1151"/>
      <c r="L76" s="1152"/>
      <c r="M76" s="1143"/>
      <c r="N76" s="147"/>
      <c r="O76" s="1143"/>
    </row>
    <row r="77" spans="1:15" s="147" customFormat="1" ht="52.5" customHeight="1">
      <c r="B77" s="1186" t="s">
        <v>363</v>
      </c>
      <c r="C77" s="1187" t="s">
        <v>364</v>
      </c>
      <c r="D77" s="1187" t="s">
        <v>325</v>
      </c>
      <c r="E77" s="1187" t="s">
        <v>365</v>
      </c>
      <c r="F77" s="1187" t="s">
        <v>366</v>
      </c>
      <c r="G77" s="1188" t="s">
        <v>367</v>
      </c>
      <c r="H77" s="1188"/>
      <c r="I77" s="1189"/>
      <c r="J77" s="1137"/>
      <c r="K77" s="1135"/>
      <c r="L77" s="1136"/>
    </row>
    <row r="78" spans="1:15" s="147" customFormat="1" ht="15.6" customHeight="1">
      <c r="B78" s="1161" t="s">
        <v>368</v>
      </c>
      <c r="C78" s="1206">
        <f>SUM(D78:F78)</f>
        <v>0</v>
      </c>
      <c r="D78" s="1207">
        <f>'Project Savings'!D153*(1-$J$90)</f>
        <v>0</v>
      </c>
      <c r="E78" s="1206">
        <f>'Project Savings'!E153*(1-$J$90)</f>
        <v>0</v>
      </c>
      <c r="F78" s="1207">
        <f>'Project Savings'!F153*(1-$J$90)</f>
        <v>0</v>
      </c>
      <c r="G78" s="1441"/>
      <c r="H78" s="1446"/>
      <c r="I78" s="1447"/>
      <c r="J78" s="1137"/>
      <c r="K78" s="1135"/>
      <c r="L78" s="1136"/>
    </row>
    <row r="79" spans="1:15" s="147" customFormat="1" ht="15.6" customHeight="1">
      <c r="B79" s="372" t="s">
        <v>369</v>
      </c>
      <c r="C79" s="1162">
        <f>SUM(D79:F79)</f>
        <v>0</v>
      </c>
      <c r="D79" s="1191">
        <f>'Project Savings'!D155*(1-$J$90)</f>
        <v>0</v>
      </c>
      <c r="E79" s="1163">
        <f>'Project Savings'!E155*(1-$J$90)</f>
        <v>0</v>
      </c>
      <c r="F79" s="1191">
        <f>'Project Savings'!F155*(1-$J$90)</f>
        <v>0</v>
      </c>
      <c r="G79" s="1442"/>
      <c r="H79" s="1444"/>
      <c r="I79" s="1445"/>
      <c r="J79" s="1137"/>
      <c r="K79" s="1135"/>
      <c r="L79" s="1136"/>
    </row>
    <row r="80" spans="1:15" s="147" customFormat="1" ht="15.6" customHeight="1">
      <c r="B80" s="372" t="s">
        <v>370</v>
      </c>
      <c r="C80" s="1162">
        <f>SUM(D80:F80)</f>
        <v>0</v>
      </c>
      <c r="D80" s="1191">
        <f>'Project Savings'!D156*(1-$J$90)</f>
        <v>0</v>
      </c>
      <c r="E80" s="1163">
        <f>'Project Savings'!E156*(1-$J$90)</f>
        <v>0</v>
      </c>
      <c r="F80" s="1191">
        <f>'Project Savings'!F156*(1-$J$90)</f>
        <v>0</v>
      </c>
      <c r="G80" s="1442"/>
      <c r="H80" s="1444"/>
      <c r="I80" s="1445"/>
      <c r="J80" s="1137"/>
      <c r="K80" s="1135"/>
      <c r="L80" s="1136"/>
    </row>
    <row r="81" spans="1:12" s="147" customFormat="1" ht="15.6" customHeight="1">
      <c r="A81" s="167"/>
      <c r="B81" s="1192" t="str">
        <f>"Annual Fuel Savings ("&amp;IFERROR(VLOOKUP($C$18,Tables!$B$10:$E$13,4,FALSE),"-")&amp;")"</f>
        <v>Annual Fuel Savings (-)</v>
      </c>
      <c r="C81" s="1193">
        <f>SUM(D81:F81)</f>
        <v>0</v>
      </c>
      <c r="D81" s="1208">
        <f>IFERROR(SUM('Project Savings'!D157:D159)*(1-$J$90),0)</f>
        <v>0</v>
      </c>
      <c r="E81" s="1209">
        <f>IFERROR(SUM('Project Savings'!E157:E159)*(1-$J$90),0)</f>
        <v>0</v>
      </c>
      <c r="F81" s="1208">
        <f>IFERROR(SUM('Project Savings'!F157:F159)*(1-$J$90),0)</f>
        <v>0</v>
      </c>
      <c r="G81" s="1443"/>
      <c r="H81" s="1444"/>
      <c r="I81" s="1445"/>
      <c r="J81" s="1137"/>
      <c r="K81" s="1135"/>
      <c r="L81" s="1136"/>
    </row>
    <row r="82" spans="1:12" s="147" customFormat="1" ht="18.600000000000001" customHeight="1">
      <c r="B82" s="1186" t="s">
        <v>371</v>
      </c>
      <c r="C82" s="1187"/>
      <c r="D82" s="1187"/>
      <c r="E82" s="1187"/>
      <c r="F82" s="1187"/>
      <c r="G82" s="1426"/>
      <c r="H82" s="1426"/>
      <c r="I82" s="1427"/>
      <c r="J82" s="1137" t="s">
        <v>372</v>
      </c>
      <c r="K82" s="1135" t="s">
        <v>373</v>
      </c>
      <c r="L82" s="1136" t="s">
        <v>267</v>
      </c>
    </row>
    <row r="83" spans="1:12" s="147" customFormat="1" ht="15.6" customHeight="1">
      <c r="B83" s="372" t="s">
        <v>374</v>
      </c>
      <c r="C83" s="1194">
        <f>SUM(D83:G83)</f>
        <v>0</v>
      </c>
      <c r="D83" s="1275" t="str">
        <f>IFERROR('Incentive Calc'!H54*(1-$J$90),"Missing Data")</f>
        <v>Missing Data</v>
      </c>
      <c r="E83" s="1196" t="str">
        <f>IFERROR('Incentive Calc'!H55*(1-$J$90),"Missing Data")</f>
        <v>Missing Data</v>
      </c>
      <c r="F83" s="1195" t="str">
        <f>IFERROR('Incentive Calc'!H56*(1-$J$90),"Missing Data")</f>
        <v>Missing Data</v>
      </c>
      <c r="G83" s="1194">
        <f>'Incentive Calc'!H53*(1-$J$90)</f>
        <v>0</v>
      </c>
      <c r="H83" s="1548" t="str">
        <f>IFERROR(IF(J86=1,L86,"")&amp;IF(J84=1,L84,"")&amp;IF(J83=1,L83,"")&amp;IF(J85=1,L85,""),"Provide required project information.")</f>
        <v>Provide required project information.</v>
      </c>
      <c r="I83" s="1549"/>
      <c r="J83" s="1137">
        <f>IF(SUM(J60:J68)&lt;2,1,0)</f>
        <v>1</v>
      </c>
      <c r="K83" s="1135" t="s">
        <v>375</v>
      </c>
      <c r="L83" s="1136" t="s">
        <v>376</v>
      </c>
    </row>
    <row r="84" spans="1:12" s="147" customFormat="1" ht="15.6" customHeight="1">
      <c r="B84" s="372" t="s">
        <v>377</v>
      </c>
      <c r="C84" s="1194">
        <f>SUM(D84:F84)</f>
        <v>0</v>
      </c>
      <c r="D84" s="1195" t="str">
        <f>IFERROR('Incentive Calc'!I54*(1-$J$90),"Missing Data")</f>
        <v>Missing Data</v>
      </c>
      <c r="E84" s="1196" t="str">
        <f>IFERROR('Incentive Calc'!I55*(1-$J$90),"Missing Data")</f>
        <v>Missing Data</v>
      </c>
      <c r="F84" s="1195" t="str">
        <f>IFERROR('Incentive Calc'!I56*(1-$J$90),"Missing Data")</f>
        <v>Missing Data</v>
      </c>
      <c r="G84" s="1196"/>
      <c r="H84" s="1550"/>
      <c r="I84" s="1551"/>
      <c r="J84" s="1137" t="e">
        <f>IF(AND('Incentive Calc'!E48&lt;&gt;0,'Incentive Calc'!E48&lt;&gt;'Incentive Calc'!E47),1,0)</f>
        <v>#N/A</v>
      </c>
      <c r="K84" s="1136" t="s">
        <v>378</v>
      </c>
      <c r="L84" s="1136" t="s">
        <v>379</v>
      </c>
    </row>
    <row r="85" spans="1:12" s="147" customFormat="1" ht="34.5" customHeight="1">
      <c r="B85" s="1197" t="s">
        <v>380</v>
      </c>
      <c r="C85" s="1198">
        <f>SUM(C83:C84)</f>
        <v>0</v>
      </c>
      <c r="D85" s="1199"/>
      <c r="E85" s="1199"/>
      <c r="F85" s="1199"/>
      <c r="G85" s="1199"/>
      <c r="H85" s="1552"/>
      <c r="I85" s="1553"/>
      <c r="J85" s="1137">
        <f>IF(SUM(D83:F84)=0,1,0)</f>
        <v>1</v>
      </c>
      <c r="K85" s="1135" t="s">
        <v>381</v>
      </c>
      <c r="L85" s="1135" t="s">
        <v>382</v>
      </c>
    </row>
    <row r="86" spans="1:12" s="147" customFormat="1" ht="15.6" customHeight="1">
      <c r="B86" s="1569" t="s">
        <v>383</v>
      </c>
      <c r="C86" s="1570"/>
      <c r="D86" s="1570"/>
      <c r="E86" s="1570"/>
      <c r="F86" s="1570"/>
      <c r="G86" s="1570"/>
      <c r="H86" s="1570"/>
      <c r="I86" s="1571"/>
      <c r="J86" s="1137">
        <f>J19</f>
        <v>1</v>
      </c>
      <c r="K86" s="1135" t="s">
        <v>384</v>
      </c>
      <c r="L86" s="1136" t="s">
        <v>385</v>
      </c>
    </row>
    <row r="87" spans="1:12" s="147" customFormat="1" ht="15.6" customHeight="1">
      <c r="B87" s="1158" t="s">
        <v>386</v>
      </c>
      <c r="C87" s="1190">
        <f>SUM(C49:G49)</f>
        <v>0</v>
      </c>
      <c r="D87" s="1554"/>
      <c r="E87" s="1555"/>
      <c r="F87" s="1555"/>
      <c r="G87" s="1556"/>
      <c r="H87" s="1567"/>
      <c r="I87" s="1568"/>
      <c r="J87" s="1137"/>
      <c r="K87" s="1135"/>
      <c r="L87" s="1136"/>
    </row>
    <row r="88" spans="1:12" s="147" customFormat="1" ht="15.6" customHeight="1">
      <c r="B88" s="372" t="s">
        <v>387</v>
      </c>
      <c r="C88" s="1200">
        <f>IFERROR(IF(C87&lt;C19,(C87/C19)*C20,C20),"Error")</f>
        <v>0</v>
      </c>
      <c r="D88" s="1557"/>
      <c r="E88" s="1558"/>
      <c r="F88" s="1558"/>
      <c r="G88" s="1559"/>
      <c r="H88" s="1565"/>
      <c r="I88" s="1566"/>
      <c r="L88" s="1136"/>
    </row>
    <row r="89" spans="1:12" s="147" customFormat="1" ht="15.6" customHeight="1">
      <c r="A89" s="167"/>
      <c r="B89" s="372" t="str">
        <f>"Estimated annual fuel use for affected area ("&amp;IFERROR(VLOOKUP($C$18,Tables!$B$10:$D$13,3,FALSE),"-")&amp;")"</f>
        <v>Estimated annual fuel use for affected area (-)</v>
      </c>
      <c r="C89" s="1200">
        <f>IFERROR(IF(C87&lt;C19,(C87/C19)*C21,C21),"Error")</f>
        <v>0</v>
      </c>
      <c r="D89" s="1557"/>
      <c r="E89" s="1558"/>
      <c r="F89" s="1558"/>
      <c r="G89" s="1559"/>
      <c r="H89" s="1565"/>
      <c r="I89" s="1566"/>
      <c r="J89" s="1137"/>
      <c r="K89" s="1135"/>
      <c r="L89" s="1136"/>
    </row>
    <row r="90" spans="1:12" s="147" customFormat="1" ht="15.6" customHeight="1">
      <c r="B90" s="372" t="s">
        <v>388</v>
      </c>
      <c r="C90" s="1201" t="str">
        <f>IFERROR(C78/C20,"Missing Data")</f>
        <v>Missing Data</v>
      </c>
      <c r="D90" s="1557"/>
      <c r="E90" s="1558"/>
      <c r="F90" s="1558"/>
      <c r="G90" s="1559"/>
      <c r="H90" s="1565"/>
      <c r="I90" s="1566"/>
      <c r="J90" s="1137">
        <f>IF(SUM(C99,C101,C103,C104,C105)&gt;0,1,0)</f>
        <v>1</v>
      </c>
      <c r="K90" s="1135" t="s">
        <v>389</v>
      </c>
      <c r="L90" s="1136"/>
    </row>
    <row r="91" spans="1:12" s="147" customFormat="1" ht="15.6" customHeight="1">
      <c r="B91" s="372" t="s">
        <v>390</v>
      </c>
      <c r="C91" s="1201" t="str">
        <f>IFERROR(C81/C21,"Missing Data")</f>
        <v>Missing Data</v>
      </c>
      <c r="D91" s="1557"/>
      <c r="E91" s="1558"/>
      <c r="F91" s="1558"/>
      <c r="G91" s="1559"/>
      <c r="H91" s="1565"/>
      <c r="I91" s="1566"/>
      <c r="J91" s="1137"/>
      <c r="K91" s="1135"/>
      <c r="L91" s="1136"/>
    </row>
    <row r="92" spans="1:12" s="147" customFormat="1" ht="15.6" customHeight="1">
      <c r="B92" s="372" t="s">
        <v>391</v>
      </c>
      <c r="C92" s="1202" t="str">
        <f>IFERROR(SUM('Project Savings'!G160:G161),"Missing Data")</f>
        <v>Missing Data</v>
      </c>
      <c r="D92" s="1557"/>
      <c r="E92" s="1558"/>
      <c r="F92" s="1558"/>
      <c r="G92" s="1559"/>
      <c r="H92" s="1565"/>
      <c r="I92" s="1566"/>
      <c r="J92" s="1137"/>
      <c r="K92" s="1135"/>
      <c r="L92" s="1136"/>
    </row>
    <row r="93" spans="1:12" s="147" customFormat="1" ht="15.6" customHeight="1">
      <c r="B93" s="1192" t="s">
        <v>392</v>
      </c>
      <c r="C93" s="1203">
        <f>C34*J33+(C42+(C43*C41))*J38</f>
        <v>0</v>
      </c>
      <c r="D93" s="1557"/>
      <c r="E93" s="1558"/>
      <c r="F93" s="1558"/>
      <c r="G93" s="1559"/>
      <c r="H93" s="1565"/>
      <c r="I93" s="1566"/>
      <c r="J93" s="1137"/>
      <c r="K93" s="1135"/>
      <c r="L93" s="1136"/>
    </row>
    <row r="94" spans="1:12" s="147" customFormat="1" ht="15.6" customHeight="1">
      <c r="B94" s="373" t="s">
        <v>393</v>
      </c>
      <c r="C94" s="1204" t="str">
        <f>IFERROR(C85/C93,"Missing Data")</f>
        <v>Missing Data</v>
      </c>
      <c r="D94" s="1560"/>
      <c r="E94" s="1561"/>
      <c r="F94" s="1561"/>
      <c r="G94" s="1562"/>
      <c r="H94" s="1563"/>
      <c r="I94" s="1564"/>
      <c r="J94" s="1137"/>
      <c r="K94" s="1135"/>
      <c r="L94" s="1136"/>
    </row>
    <row r="95" spans="1:12" s="147" customFormat="1">
      <c r="B95" s="335"/>
      <c r="C95" s="1205"/>
      <c r="J95" s="1134"/>
      <c r="K95" s="1135"/>
      <c r="L95" s="1136"/>
    </row>
    <row r="96" spans="1:12" s="147" customFormat="1" ht="26.1">
      <c r="A96" s="149" t="s">
        <v>33</v>
      </c>
      <c r="B96" s="335"/>
      <c r="J96" s="1134"/>
      <c r="K96" s="1135"/>
      <c r="L96" s="1136"/>
    </row>
    <row r="97" spans="1:12" s="147" customFormat="1">
      <c r="B97" s="1229" t="s">
        <v>394</v>
      </c>
      <c r="C97" s="1230" t="s">
        <v>395</v>
      </c>
      <c r="D97" s="1422" t="s">
        <v>396</v>
      </c>
      <c r="E97" s="1423"/>
      <c r="F97" s="1423"/>
      <c r="G97" s="1424"/>
      <c r="H97" s="1422" t="s">
        <v>397</v>
      </c>
      <c r="I97" s="1425"/>
      <c r="J97" s="1137"/>
      <c r="K97" s="1135"/>
      <c r="L97" s="1136"/>
    </row>
    <row r="98" spans="1:12" s="147" customFormat="1">
      <c r="B98" s="1403" t="s">
        <v>398</v>
      </c>
      <c r="C98" s="1404"/>
      <c r="D98" s="1404"/>
      <c r="E98" s="1404"/>
      <c r="F98" s="1404"/>
      <c r="G98" s="1404"/>
      <c r="H98" s="1404"/>
      <c r="I98" s="1405"/>
      <c r="J98" s="1137"/>
      <c r="K98" s="1135"/>
      <c r="L98" s="1136"/>
    </row>
    <row r="99" spans="1:12" s="147" customFormat="1" ht="14.45" customHeight="1">
      <c r="B99" s="1233" t="s">
        <v>399</v>
      </c>
      <c r="C99" s="1234">
        <f>J19</f>
        <v>1</v>
      </c>
      <c r="D99" s="1410" t="s">
        <v>400</v>
      </c>
      <c r="E99" s="1411"/>
      <c r="F99" s="1411"/>
      <c r="G99" s="1411"/>
      <c r="H99" s="1412" t="s">
        <v>15</v>
      </c>
      <c r="I99" s="1413"/>
      <c r="J99" s="1137"/>
      <c r="K99" s="1135"/>
      <c r="L99" s="1136"/>
    </row>
    <row r="100" spans="1:12" s="147" customFormat="1" ht="14.45" customHeight="1">
      <c r="B100" s="1226" t="s">
        <v>401</v>
      </c>
      <c r="C100" s="1225">
        <f>J83</f>
        <v>1</v>
      </c>
      <c r="D100" s="1414" t="s">
        <v>402</v>
      </c>
      <c r="E100" s="1415"/>
      <c r="F100" s="1415"/>
      <c r="G100" s="1415"/>
      <c r="H100" s="1416" t="s">
        <v>403</v>
      </c>
      <c r="I100" s="1417"/>
      <c r="J100" s="1137"/>
      <c r="K100" s="1135"/>
      <c r="L100" s="1136"/>
    </row>
    <row r="101" spans="1:12" s="147" customFormat="1" ht="14.45" customHeight="1">
      <c r="B101" s="1231" t="s">
        <v>404</v>
      </c>
      <c r="C101" s="1232">
        <f>J37</f>
        <v>0</v>
      </c>
      <c r="D101" s="1408" t="s">
        <v>405</v>
      </c>
      <c r="E101" s="1409"/>
      <c r="F101" s="1409"/>
      <c r="G101" s="1409"/>
      <c r="H101" s="1406" t="s">
        <v>17</v>
      </c>
      <c r="I101" s="1407"/>
      <c r="J101" s="1137"/>
      <c r="K101" s="1135"/>
      <c r="L101" s="1136"/>
    </row>
    <row r="102" spans="1:12" s="147" customFormat="1">
      <c r="B102" s="1403" t="s">
        <v>406</v>
      </c>
      <c r="C102" s="1404"/>
      <c r="D102" s="1404"/>
      <c r="E102" s="1404"/>
      <c r="F102" s="1404"/>
      <c r="G102" s="1404"/>
      <c r="H102" s="1404"/>
      <c r="I102" s="1405"/>
      <c r="J102" s="1137"/>
      <c r="K102" s="1135"/>
      <c r="L102" s="1136"/>
    </row>
    <row r="103" spans="1:12" s="147" customFormat="1" ht="14.45" customHeight="1">
      <c r="B103" s="1235" t="s">
        <v>407</v>
      </c>
      <c r="C103" s="1234">
        <f>J21</f>
        <v>1</v>
      </c>
      <c r="D103" s="1410" t="s">
        <v>408</v>
      </c>
      <c r="E103" s="1411"/>
      <c r="F103" s="1411"/>
      <c r="G103" s="1411"/>
      <c r="H103" s="1412" t="s">
        <v>15</v>
      </c>
      <c r="I103" s="1413"/>
      <c r="J103" s="1137"/>
      <c r="K103" s="1135"/>
      <c r="L103" s="1136"/>
    </row>
    <row r="104" spans="1:12" s="147" customFormat="1" ht="14.45" customHeight="1">
      <c r="B104" s="1226" t="s">
        <v>409</v>
      </c>
      <c r="C104" s="1225">
        <f>J49</f>
        <v>0</v>
      </c>
      <c r="D104" s="1414" t="s">
        <v>410</v>
      </c>
      <c r="E104" s="1415"/>
      <c r="F104" s="1415"/>
      <c r="G104" s="1415"/>
      <c r="H104" s="1416" t="s">
        <v>403</v>
      </c>
      <c r="I104" s="1417"/>
      <c r="J104" s="1137"/>
      <c r="K104" s="1135"/>
      <c r="L104" s="1136"/>
    </row>
    <row r="105" spans="1:12" s="147" customFormat="1" ht="14.45" customHeight="1">
      <c r="B105" s="1227" t="s">
        <v>411</v>
      </c>
      <c r="C105" s="1228">
        <f>J39+J34</f>
        <v>1</v>
      </c>
      <c r="D105" s="1408" t="s">
        <v>412</v>
      </c>
      <c r="E105" s="1409"/>
      <c r="F105" s="1409"/>
      <c r="G105" s="1409"/>
      <c r="H105" s="1406" t="s">
        <v>17</v>
      </c>
      <c r="I105" s="1407"/>
      <c r="J105" s="1137"/>
      <c r="K105" s="1135"/>
      <c r="L105" s="1136"/>
    </row>
    <row r="106" spans="1:12" s="147" customFormat="1">
      <c r="B106" s="335"/>
      <c r="C106" s="1224"/>
      <c r="D106" s="1401"/>
      <c r="E106" s="1401"/>
      <c r="F106" s="1401"/>
      <c r="G106" s="1402"/>
      <c r="H106" s="1402"/>
      <c r="I106" s="1402"/>
      <c r="J106" s="1137"/>
      <c r="K106" s="1135"/>
      <c r="L106" s="1136"/>
    </row>
    <row r="107" spans="1:12" s="147" customFormat="1" ht="17.100000000000001">
      <c r="A107" s="1290" t="s">
        <v>413</v>
      </c>
      <c r="B107" s="335"/>
      <c r="C107" s="1224"/>
      <c r="D107" s="1401"/>
      <c r="E107" s="1401"/>
      <c r="F107" s="1401"/>
      <c r="G107" s="1402"/>
      <c r="H107" s="1402"/>
      <c r="I107" s="1402"/>
      <c r="J107" s="1137"/>
      <c r="K107" s="1135"/>
      <c r="L107" s="1136"/>
    </row>
    <row r="108" spans="1:12" s="147" customFormat="1">
      <c r="B108" s="335"/>
      <c r="C108" s="1224"/>
      <c r="D108" s="1401"/>
      <c r="E108" s="1401"/>
      <c r="F108" s="1401"/>
      <c r="G108" s="1402"/>
      <c r="H108" s="1402"/>
      <c r="I108" s="1402"/>
      <c r="J108" s="1137"/>
      <c r="K108" s="1135"/>
      <c r="L108" s="1136"/>
    </row>
    <row r="109" spans="1:12" s="147" customFormat="1">
      <c r="B109" s="1236"/>
      <c r="C109" s="1224"/>
      <c r="D109" s="1401"/>
      <c r="E109" s="1401"/>
      <c r="F109" s="1401"/>
      <c r="G109" s="1402"/>
      <c r="H109" s="1402"/>
      <c r="I109" s="1402"/>
      <c r="J109" s="1137"/>
      <c r="K109" s="1135"/>
      <c r="L109" s="1136"/>
    </row>
    <row r="110" spans="1:12" s="147" customFormat="1">
      <c r="B110" s="1400"/>
      <c r="C110" s="1400"/>
      <c r="D110" s="1401"/>
      <c r="E110" s="1401"/>
      <c r="F110" s="1401"/>
      <c r="G110" s="1402"/>
      <c r="H110" s="1402"/>
      <c r="I110" s="1402"/>
      <c r="J110" s="1137"/>
      <c r="K110" s="1135"/>
      <c r="L110" s="1136"/>
    </row>
    <row r="111" spans="1:12" s="147" customFormat="1">
      <c r="B111" s="1237"/>
      <c r="J111" s="1137"/>
      <c r="K111" s="1135"/>
      <c r="L111" s="1136"/>
    </row>
    <row r="112" spans="1:12" s="147" customFormat="1">
      <c r="B112" s="1237"/>
      <c r="J112" s="1137"/>
      <c r="K112" s="1135"/>
      <c r="L112" s="1136"/>
    </row>
    <row r="113" spans="2:12" s="147" customFormat="1">
      <c r="B113" s="1237"/>
      <c r="J113" s="1137"/>
      <c r="K113" s="1135"/>
      <c r="L113" s="1136"/>
    </row>
    <row r="114" spans="2:12" s="147" customFormat="1">
      <c r="J114" s="1137"/>
      <c r="K114" s="1135"/>
      <c r="L114" s="1136"/>
    </row>
    <row r="115" spans="2:12" s="147" customFormat="1">
      <c r="B115" s="167"/>
      <c r="J115" s="1134"/>
      <c r="K115" s="1135"/>
      <c r="L115" s="1136"/>
    </row>
    <row r="116" spans="2:12" s="147" customFormat="1">
      <c r="B116" s="167"/>
      <c r="J116" s="1134"/>
      <c r="K116" s="1135"/>
      <c r="L116" s="1136"/>
    </row>
    <row r="117" spans="2:12" s="147" customFormat="1">
      <c r="J117" s="1134"/>
      <c r="K117" s="1135"/>
      <c r="L117" s="1136"/>
    </row>
    <row r="118" spans="2:12" s="147" customFormat="1">
      <c r="J118" s="1134"/>
      <c r="K118" s="1135"/>
      <c r="L118" s="1136"/>
    </row>
    <row r="119" spans="2:12" s="147" customFormat="1">
      <c r="J119" s="1134"/>
      <c r="K119" s="1135"/>
      <c r="L119" s="1136"/>
    </row>
    <row r="120" spans="2:12" s="147" customFormat="1">
      <c r="J120" s="1134"/>
      <c r="K120" s="1135"/>
      <c r="L120" s="1136"/>
    </row>
    <row r="121" spans="2:12" s="147" customFormat="1">
      <c r="J121" s="1134"/>
      <c r="K121" s="1135"/>
      <c r="L121" s="1136"/>
    </row>
    <row r="122" spans="2:12" s="147" customFormat="1">
      <c r="J122" s="1134"/>
      <c r="K122" s="1135"/>
      <c r="L122" s="1136"/>
    </row>
    <row r="123" spans="2:12" s="147" customFormat="1">
      <c r="J123" s="1134"/>
      <c r="K123" s="1135"/>
      <c r="L123" s="1136"/>
    </row>
    <row r="124" spans="2:12" s="147" customFormat="1">
      <c r="J124" s="1134"/>
      <c r="K124" s="1135"/>
      <c r="L124" s="1136"/>
    </row>
    <row r="125" spans="2:12" s="147" customFormat="1">
      <c r="J125" s="1134"/>
      <c r="K125" s="1135"/>
      <c r="L125" s="1136"/>
    </row>
    <row r="126" spans="2:12" s="147" customFormat="1">
      <c r="J126" s="1134"/>
      <c r="K126" s="1135"/>
      <c r="L126" s="1136"/>
    </row>
    <row r="127" spans="2:12" s="147" customFormat="1">
      <c r="J127" s="1134"/>
      <c r="K127" s="1135"/>
      <c r="L127" s="1136"/>
    </row>
    <row r="128" spans="2:12" s="147" customFormat="1">
      <c r="J128" s="1134"/>
      <c r="K128" s="1135"/>
      <c r="L128" s="1136"/>
    </row>
    <row r="129" spans="2:12" s="147" customFormat="1">
      <c r="J129" s="1134"/>
      <c r="K129" s="1135"/>
      <c r="L129" s="1136"/>
    </row>
    <row r="130" spans="2:12" s="147" customFormat="1">
      <c r="J130" s="1134"/>
      <c r="K130" s="1135"/>
      <c r="L130" s="1136"/>
    </row>
    <row r="131" spans="2:12" s="147" customFormat="1">
      <c r="J131" s="1134"/>
      <c r="K131" s="1135"/>
      <c r="L131" s="1136"/>
    </row>
    <row r="132" spans="2:12" s="147" customFormat="1">
      <c r="J132" s="1134"/>
      <c r="K132" s="1135"/>
      <c r="L132" s="1136"/>
    </row>
    <row r="133" spans="2:12" s="147" customFormat="1">
      <c r="J133" s="1134"/>
      <c r="K133" s="1135"/>
      <c r="L133" s="1136"/>
    </row>
    <row r="134" spans="2:12" s="147" customFormat="1">
      <c r="B134" s="167"/>
      <c r="J134" s="1134"/>
      <c r="K134" s="1135"/>
      <c r="L134" s="1136"/>
    </row>
    <row r="135" spans="2:12" s="147" customFormat="1">
      <c r="J135" s="1134"/>
      <c r="K135" s="1135"/>
      <c r="L135" s="1136"/>
    </row>
    <row r="136" spans="2:12" s="147" customFormat="1">
      <c r="J136" s="1134"/>
      <c r="K136" s="1135"/>
      <c r="L136" s="1136"/>
    </row>
    <row r="137" spans="2:12" s="147" customFormat="1">
      <c r="J137" s="1134"/>
      <c r="K137" s="1135"/>
      <c r="L137" s="1136"/>
    </row>
    <row r="138" spans="2:12" s="147" customFormat="1">
      <c r="J138" s="1134"/>
      <c r="K138" s="1135"/>
      <c r="L138" s="1136"/>
    </row>
    <row r="139" spans="2:12" s="147" customFormat="1">
      <c r="J139" s="1134"/>
      <c r="K139" s="1135"/>
      <c r="L139" s="1136"/>
    </row>
    <row r="140" spans="2:12" s="147" customFormat="1">
      <c r="J140" s="1134"/>
      <c r="K140" s="1135"/>
      <c r="L140" s="1136"/>
    </row>
    <row r="141" spans="2:12" s="147" customFormat="1">
      <c r="B141" s="1070"/>
      <c r="J141" s="1134"/>
      <c r="K141" s="1135"/>
      <c r="L141" s="1136"/>
    </row>
    <row r="142" spans="2:12" s="147" customFormat="1">
      <c r="B142" s="1174"/>
      <c r="J142" s="1134"/>
      <c r="K142" s="1135"/>
      <c r="L142" s="1136"/>
    </row>
    <row r="143" spans="2:12" s="147" customFormat="1">
      <c r="J143" s="1134"/>
      <c r="K143" s="1135"/>
      <c r="L143" s="1136"/>
    </row>
    <row r="144" spans="2:12" s="147" customFormat="1">
      <c r="J144" s="1134"/>
      <c r="K144" s="1135"/>
      <c r="L144" s="1136"/>
    </row>
    <row r="145" spans="2:12" s="147" customFormat="1">
      <c r="J145" s="1134"/>
      <c r="K145" s="1135"/>
      <c r="L145" s="1136"/>
    </row>
    <row r="146" spans="2:12" s="147" customFormat="1">
      <c r="J146" s="1134"/>
      <c r="K146" s="1135"/>
      <c r="L146" s="1136"/>
    </row>
    <row r="147" spans="2:12" s="147" customFormat="1">
      <c r="J147" s="1134"/>
      <c r="K147" s="1135"/>
      <c r="L147" s="1136"/>
    </row>
    <row r="148" spans="2:12" s="147" customFormat="1">
      <c r="B148" s="1174"/>
      <c r="J148" s="1134"/>
      <c r="K148" s="1135"/>
      <c r="L148" s="1136"/>
    </row>
    <row r="149" spans="2:12" s="147" customFormat="1">
      <c r="B149" s="167"/>
      <c r="J149" s="1134"/>
      <c r="K149" s="1135"/>
      <c r="L149" s="1136"/>
    </row>
    <row r="150" spans="2:12" s="147" customFormat="1">
      <c r="B150" s="1174"/>
      <c r="J150" s="1134"/>
      <c r="K150" s="1135"/>
      <c r="L150" s="1136"/>
    </row>
    <row r="151" spans="2:12" s="147" customFormat="1">
      <c r="B151" s="1174"/>
      <c r="J151" s="1134"/>
      <c r="K151" s="1135"/>
      <c r="L151" s="1136"/>
    </row>
    <row r="152" spans="2:12" s="147" customFormat="1">
      <c r="B152" s="167"/>
      <c r="J152" s="1134"/>
      <c r="K152" s="1135"/>
      <c r="L152" s="1136"/>
    </row>
    <row r="153" spans="2:12" s="147" customFormat="1">
      <c r="B153" s="167"/>
      <c r="J153" s="1134"/>
      <c r="K153" s="1135"/>
      <c r="L153" s="1136"/>
    </row>
    <row r="154" spans="2:12" s="147" customFormat="1">
      <c r="J154" s="1134"/>
      <c r="K154" s="1135"/>
      <c r="L154" s="1136"/>
    </row>
    <row r="155" spans="2:12" s="147" customFormat="1">
      <c r="J155" s="1134"/>
      <c r="K155" s="1135"/>
      <c r="L155" s="1136"/>
    </row>
    <row r="156" spans="2:12" s="147" customFormat="1">
      <c r="J156" s="1134"/>
      <c r="K156" s="1135"/>
      <c r="L156" s="1136"/>
    </row>
    <row r="157" spans="2:12" s="147" customFormat="1">
      <c r="J157" s="1134"/>
      <c r="K157" s="1135"/>
      <c r="L157" s="1136"/>
    </row>
    <row r="158" spans="2:12" s="147" customFormat="1">
      <c r="J158" s="1134"/>
      <c r="K158" s="1135"/>
      <c r="L158" s="1136"/>
    </row>
    <row r="159" spans="2:12" s="147" customFormat="1">
      <c r="J159" s="1134"/>
      <c r="K159" s="1135"/>
      <c r="L159" s="1136"/>
    </row>
    <row r="160" spans="2:12" s="147" customFormat="1">
      <c r="J160" s="1134"/>
      <c r="K160" s="1135"/>
      <c r="L160" s="1136"/>
    </row>
    <row r="161" spans="2:12" s="147" customFormat="1">
      <c r="J161" s="1134"/>
      <c r="K161" s="1135"/>
      <c r="L161" s="1136"/>
    </row>
    <row r="162" spans="2:12" s="147" customFormat="1">
      <c r="J162" s="1134"/>
      <c r="K162" s="1135"/>
      <c r="L162" s="1136"/>
    </row>
    <row r="163" spans="2:12" s="147" customFormat="1">
      <c r="J163" s="1134"/>
      <c r="K163" s="1135"/>
      <c r="L163" s="1136"/>
    </row>
    <row r="164" spans="2:12" s="147" customFormat="1">
      <c r="J164" s="1134"/>
      <c r="K164" s="1135"/>
      <c r="L164" s="1136"/>
    </row>
    <row r="165" spans="2:12" s="147" customFormat="1">
      <c r="J165" s="1134"/>
      <c r="K165" s="1135"/>
      <c r="L165" s="1136"/>
    </row>
    <row r="166" spans="2:12" s="147" customFormat="1">
      <c r="J166" s="1134"/>
      <c r="K166" s="1135"/>
      <c r="L166" s="1136"/>
    </row>
    <row r="167" spans="2:12" s="147" customFormat="1">
      <c r="J167" s="1134"/>
      <c r="K167" s="1135"/>
      <c r="L167" s="1136"/>
    </row>
    <row r="168" spans="2:12" s="147" customFormat="1">
      <c r="J168" s="1134"/>
      <c r="K168" s="1135"/>
      <c r="L168" s="1136"/>
    </row>
    <row r="169" spans="2:12" s="147" customFormat="1">
      <c r="B169" s="335"/>
      <c r="J169" s="1134"/>
      <c r="K169" s="1135"/>
      <c r="L169" s="1136"/>
    </row>
    <row r="170" spans="2:12" s="147" customFormat="1">
      <c r="B170" s="335"/>
      <c r="J170" s="1134"/>
      <c r="K170" s="1135"/>
      <c r="L170" s="1136"/>
    </row>
    <row r="171" spans="2:12" s="147" customFormat="1">
      <c r="B171" s="335"/>
      <c r="J171" s="1134"/>
      <c r="K171" s="1135"/>
      <c r="L171" s="1136"/>
    </row>
    <row r="172" spans="2:12" s="147" customFormat="1">
      <c r="B172" s="335"/>
      <c r="J172" s="1134"/>
      <c r="K172" s="1135"/>
      <c r="L172" s="1136"/>
    </row>
    <row r="173" spans="2:12" s="147" customFormat="1">
      <c r="B173" s="335"/>
      <c r="J173" s="1134"/>
      <c r="K173" s="1135"/>
      <c r="L173" s="1136"/>
    </row>
    <row r="174" spans="2:12" s="147" customFormat="1">
      <c r="B174" s="335"/>
      <c r="J174" s="1134"/>
      <c r="K174" s="1135"/>
      <c r="L174" s="1136"/>
    </row>
    <row r="175" spans="2:12" s="147" customFormat="1">
      <c r="B175" s="335"/>
      <c r="J175" s="1134"/>
      <c r="K175" s="1135"/>
      <c r="L175" s="1136"/>
    </row>
    <row r="176" spans="2:12" s="147" customFormat="1">
      <c r="B176" s="335"/>
      <c r="J176" s="1134"/>
      <c r="K176" s="1135"/>
      <c r="L176" s="1136"/>
    </row>
    <row r="177" spans="2:12" s="147" customFormat="1">
      <c r="B177" s="335"/>
      <c r="J177" s="1134"/>
      <c r="K177" s="1135"/>
      <c r="L177" s="1136"/>
    </row>
    <row r="178" spans="2:12" s="147" customFormat="1">
      <c r="B178" s="335"/>
      <c r="J178" s="1134"/>
      <c r="K178" s="1135"/>
      <c r="L178" s="1136"/>
    </row>
    <row r="179" spans="2:12" s="147" customFormat="1">
      <c r="B179" s="335"/>
      <c r="J179" s="1134"/>
      <c r="K179" s="1135"/>
      <c r="L179" s="1136"/>
    </row>
    <row r="180" spans="2:12" s="147" customFormat="1">
      <c r="B180" s="335"/>
      <c r="J180" s="1134"/>
      <c r="K180" s="1135"/>
      <c r="L180" s="1136"/>
    </row>
    <row r="181" spans="2:12" s="147" customFormat="1">
      <c r="B181" s="335"/>
      <c r="J181" s="1134"/>
      <c r="K181" s="1135"/>
      <c r="L181" s="1136"/>
    </row>
    <row r="182" spans="2:12" s="147" customFormat="1">
      <c r="B182" s="335"/>
      <c r="J182" s="1134"/>
      <c r="K182" s="1135"/>
      <c r="L182" s="1136"/>
    </row>
    <row r="183" spans="2:12" s="147" customFormat="1">
      <c r="B183" s="335"/>
      <c r="J183" s="1134"/>
      <c r="K183" s="1135"/>
      <c r="L183" s="1136"/>
    </row>
    <row r="184" spans="2:12" s="147" customFormat="1">
      <c r="B184" s="335"/>
      <c r="J184" s="1134"/>
      <c r="K184" s="1135"/>
      <c r="L184" s="1136"/>
    </row>
    <row r="185" spans="2:12" s="147" customFormat="1">
      <c r="B185" s="335"/>
      <c r="J185" s="1134"/>
      <c r="K185" s="1135"/>
      <c r="L185" s="1136"/>
    </row>
    <row r="186" spans="2:12" s="147" customFormat="1">
      <c r="B186" s="335"/>
      <c r="J186" s="1134"/>
      <c r="K186" s="1135"/>
      <c r="L186" s="1136"/>
    </row>
    <row r="187" spans="2:12" s="147" customFormat="1">
      <c r="B187" s="335"/>
      <c r="J187" s="1134"/>
      <c r="K187" s="1135"/>
      <c r="L187" s="1136"/>
    </row>
    <row r="188" spans="2:12" s="147" customFormat="1">
      <c r="B188" s="335"/>
      <c r="J188" s="1134"/>
      <c r="K188" s="1135"/>
      <c r="L188" s="1136"/>
    </row>
    <row r="189" spans="2:12" s="147" customFormat="1">
      <c r="B189" s="335"/>
      <c r="J189" s="1134"/>
      <c r="K189" s="1135"/>
      <c r="L189" s="1136"/>
    </row>
    <row r="190" spans="2:12" s="147" customFormat="1">
      <c r="B190" s="335"/>
      <c r="J190" s="1134"/>
      <c r="K190" s="1135"/>
      <c r="L190" s="1136"/>
    </row>
    <row r="191" spans="2:12" s="147" customFormat="1">
      <c r="B191" s="335"/>
      <c r="J191" s="1134"/>
      <c r="K191" s="1135"/>
      <c r="L191" s="1136"/>
    </row>
    <row r="192" spans="2:12" s="147" customFormat="1">
      <c r="B192" s="335"/>
      <c r="J192" s="1134"/>
      <c r="K192" s="1135"/>
      <c r="L192" s="1136"/>
    </row>
    <row r="193" spans="2:12" s="147" customFormat="1">
      <c r="B193" s="335"/>
      <c r="J193" s="1134"/>
      <c r="K193" s="1135"/>
      <c r="L193" s="1136"/>
    </row>
    <row r="194" spans="2:12" s="147" customFormat="1">
      <c r="B194" s="335"/>
      <c r="J194" s="1134"/>
      <c r="K194" s="1135"/>
      <c r="L194" s="1136"/>
    </row>
    <row r="195" spans="2:12" s="147" customFormat="1">
      <c r="B195" s="335"/>
      <c r="J195" s="1134"/>
      <c r="K195" s="1135"/>
      <c r="L195" s="1136"/>
    </row>
    <row r="196" spans="2:12" s="147" customFormat="1">
      <c r="B196" s="335"/>
      <c r="J196" s="1134"/>
      <c r="K196" s="1135"/>
      <c r="L196" s="1136"/>
    </row>
    <row r="197" spans="2:12" s="147" customFormat="1">
      <c r="B197" s="335"/>
      <c r="J197" s="1134"/>
      <c r="K197" s="1135"/>
      <c r="L197" s="1136"/>
    </row>
    <row r="198" spans="2:12" s="147" customFormat="1">
      <c r="B198" s="335"/>
      <c r="J198" s="1134"/>
      <c r="K198" s="1135"/>
      <c r="L198" s="1136"/>
    </row>
    <row r="199" spans="2:12" s="147" customFormat="1">
      <c r="B199" s="335"/>
      <c r="J199" s="1134"/>
      <c r="K199" s="1135"/>
      <c r="L199" s="1136"/>
    </row>
    <row r="200" spans="2:12" s="147" customFormat="1">
      <c r="B200" s="335"/>
      <c r="J200" s="1134"/>
      <c r="K200" s="1135"/>
      <c r="L200" s="1136"/>
    </row>
    <row r="201" spans="2:12" s="147" customFormat="1">
      <c r="B201" s="335"/>
      <c r="J201" s="1134"/>
      <c r="K201" s="1135"/>
      <c r="L201" s="1136"/>
    </row>
    <row r="202" spans="2:12" s="147" customFormat="1">
      <c r="B202" s="335"/>
      <c r="J202" s="1134"/>
      <c r="K202" s="1135"/>
      <c r="L202" s="1136"/>
    </row>
    <row r="203" spans="2:12" s="147" customFormat="1">
      <c r="B203" s="335"/>
      <c r="J203" s="1134"/>
      <c r="K203" s="1135"/>
      <c r="L203" s="1136"/>
    </row>
    <row r="204" spans="2:12" s="147" customFormat="1">
      <c r="B204" s="335"/>
      <c r="J204" s="1134"/>
      <c r="K204" s="1135"/>
      <c r="L204" s="1136"/>
    </row>
    <row r="205" spans="2:12" s="147" customFormat="1">
      <c r="B205" s="335"/>
      <c r="J205" s="1134"/>
      <c r="K205" s="1135"/>
      <c r="L205" s="1136"/>
    </row>
    <row r="206" spans="2:12" s="147" customFormat="1">
      <c r="B206" s="335"/>
      <c r="J206" s="1134"/>
      <c r="K206" s="1135"/>
      <c r="L206" s="1136"/>
    </row>
    <row r="207" spans="2:12" s="147" customFormat="1">
      <c r="B207" s="335"/>
      <c r="J207" s="1134"/>
      <c r="K207" s="1135"/>
      <c r="L207" s="1136"/>
    </row>
    <row r="208" spans="2:12" s="147" customFormat="1">
      <c r="B208" s="335"/>
      <c r="J208" s="1134"/>
      <c r="K208" s="1135"/>
      <c r="L208" s="1136"/>
    </row>
    <row r="209" spans="2:12" s="147" customFormat="1">
      <c r="B209" s="335"/>
      <c r="J209" s="1134"/>
      <c r="K209" s="1135"/>
      <c r="L209" s="1136"/>
    </row>
    <row r="210" spans="2:12" s="147" customFormat="1">
      <c r="B210" s="335"/>
      <c r="J210" s="1134"/>
      <c r="K210" s="1135"/>
      <c r="L210" s="1136"/>
    </row>
    <row r="211" spans="2:12" s="147" customFormat="1">
      <c r="B211" s="335"/>
      <c r="J211" s="1134"/>
      <c r="K211" s="1135"/>
      <c r="L211" s="1136"/>
    </row>
    <row r="212" spans="2:12" s="147" customFormat="1">
      <c r="B212" s="335"/>
      <c r="J212" s="1134"/>
      <c r="K212" s="1135"/>
      <c r="L212" s="1136"/>
    </row>
    <row r="213" spans="2:12" s="147" customFormat="1">
      <c r="B213" s="335"/>
      <c r="J213" s="1134"/>
      <c r="K213" s="1135"/>
      <c r="L213" s="1136"/>
    </row>
    <row r="214" spans="2:12" s="147" customFormat="1">
      <c r="B214" s="335"/>
      <c r="J214" s="1134"/>
      <c r="K214" s="1135"/>
      <c r="L214" s="1136"/>
    </row>
    <row r="215" spans="2:12" s="147" customFormat="1">
      <c r="B215" s="335"/>
      <c r="J215" s="1134"/>
      <c r="K215" s="1135"/>
      <c r="L215" s="1136"/>
    </row>
    <row r="216" spans="2:12" s="147" customFormat="1">
      <c r="B216" s="335"/>
      <c r="J216" s="1134"/>
      <c r="K216" s="1135"/>
      <c r="L216" s="1136"/>
    </row>
    <row r="217" spans="2:12" s="147" customFormat="1">
      <c r="B217" s="335"/>
      <c r="J217" s="1134"/>
      <c r="K217" s="1135"/>
      <c r="L217" s="1136"/>
    </row>
    <row r="218" spans="2:12" s="147" customFormat="1">
      <c r="B218" s="335"/>
      <c r="J218" s="1134"/>
      <c r="K218" s="1135"/>
      <c r="L218" s="1136"/>
    </row>
    <row r="219" spans="2:12" s="147" customFormat="1">
      <c r="B219" s="335"/>
      <c r="J219" s="1134"/>
      <c r="K219" s="1135"/>
      <c r="L219" s="1136"/>
    </row>
    <row r="220" spans="2:12" s="147" customFormat="1">
      <c r="B220" s="335"/>
      <c r="J220" s="1134"/>
      <c r="K220" s="1135"/>
      <c r="L220" s="1136"/>
    </row>
    <row r="221" spans="2:12" s="147" customFormat="1">
      <c r="B221" s="335"/>
      <c r="J221" s="1134"/>
      <c r="K221" s="1135"/>
      <c r="L221" s="1136"/>
    </row>
    <row r="222" spans="2:12" s="147" customFormat="1">
      <c r="B222" s="335"/>
      <c r="J222" s="1134"/>
      <c r="K222" s="1135"/>
      <c r="L222" s="1136"/>
    </row>
    <row r="223" spans="2:12" s="147" customFormat="1">
      <c r="B223" s="335"/>
      <c r="J223" s="1134"/>
      <c r="K223" s="1135"/>
      <c r="L223" s="1136"/>
    </row>
    <row r="224" spans="2:12" s="147" customFormat="1">
      <c r="B224" s="335"/>
      <c r="J224" s="1134"/>
      <c r="K224" s="1135"/>
      <c r="L224" s="1136"/>
    </row>
    <row r="225" spans="2:12" s="147" customFormat="1">
      <c r="B225" s="335"/>
      <c r="J225" s="1134"/>
      <c r="K225" s="1135"/>
      <c r="L225" s="1136"/>
    </row>
    <row r="226" spans="2:12" s="147" customFormat="1">
      <c r="B226" s="335"/>
      <c r="J226" s="1134"/>
      <c r="K226" s="1135"/>
      <c r="L226" s="1136"/>
    </row>
    <row r="227" spans="2:12" s="147" customFormat="1">
      <c r="B227" s="335"/>
      <c r="J227" s="1134"/>
      <c r="K227" s="1135"/>
      <c r="L227" s="1136"/>
    </row>
    <row r="228" spans="2:12" s="147" customFormat="1">
      <c r="B228" s="335"/>
      <c r="J228" s="1134"/>
      <c r="K228" s="1135"/>
      <c r="L228" s="1136"/>
    </row>
    <row r="229" spans="2:12" s="147" customFormat="1">
      <c r="B229" s="335"/>
      <c r="J229" s="1134"/>
      <c r="K229" s="1135"/>
      <c r="L229" s="1136"/>
    </row>
    <row r="230" spans="2:12" s="147" customFormat="1">
      <c r="B230" s="335"/>
      <c r="J230" s="1134"/>
      <c r="K230" s="1135"/>
      <c r="L230" s="1136"/>
    </row>
    <row r="231" spans="2:12" s="147" customFormat="1">
      <c r="B231" s="335"/>
      <c r="J231" s="1134"/>
      <c r="K231" s="1135"/>
      <c r="L231" s="1136"/>
    </row>
    <row r="232" spans="2:12" s="147" customFormat="1">
      <c r="B232" s="335"/>
      <c r="J232" s="1134"/>
      <c r="K232" s="1135"/>
      <c r="L232" s="1136"/>
    </row>
    <row r="233" spans="2:12" s="147" customFormat="1">
      <c r="B233" s="335"/>
      <c r="J233" s="1134"/>
      <c r="K233" s="1135"/>
      <c r="L233" s="1136"/>
    </row>
    <row r="234" spans="2:12" s="147" customFormat="1">
      <c r="B234" s="335"/>
      <c r="J234" s="1134"/>
      <c r="K234" s="1135"/>
      <c r="L234" s="1136"/>
    </row>
    <row r="235" spans="2:12" s="147" customFormat="1">
      <c r="B235" s="335"/>
      <c r="J235" s="1134"/>
      <c r="K235" s="1135"/>
      <c r="L235" s="1136"/>
    </row>
    <row r="236" spans="2:12" s="147" customFormat="1">
      <c r="B236" s="335"/>
      <c r="J236" s="1134"/>
      <c r="K236" s="1135"/>
      <c r="L236" s="1136"/>
    </row>
    <row r="237" spans="2:12" s="147" customFormat="1">
      <c r="B237" s="335"/>
      <c r="J237" s="1134"/>
      <c r="K237" s="1135"/>
      <c r="L237" s="1136"/>
    </row>
    <row r="238" spans="2:12" s="147" customFormat="1">
      <c r="B238" s="335"/>
      <c r="J238" s="1134"/>
      <c r="K238" s="1135"/>
      <c r="L238" s="1136"/>
    </row>
    <row r="239" spans="2:12" s="147" customFormat="1">
      <c r="B239" s="335"/>
      <c r="J239" s="1134"/>
      <c r="K239" s="1135"/>
      <c r="L239" s="1136"/>
    </row>
    <row r="240" spans="2:12" s="147" customFormat="1">
      <c r="B240" s="335"/>
      <c r="J240" s="1134"/>
      <c r="K240" s="1135"/>
      <c r="L240" s="1136"/>
    </row>
    <row r="241" spans="2:12" s="147" customFormat="1">
      <c r="B241" s="335"/>
      <c r="J241" s="1134"/>
      <c r="K241" s="1135"/>
      <c r="L241" s="1136"/>
    </row>
    <row r="242" spans="2:12" s="147" customFormat="1">
      <c r="B242" s="335"/>
      <c r="J242" s="1134"/>
      <c r="K242" s="1135"/>
      <c r="L242" s="1136"/>
    </row>
    <row r="243" spans="2:12" s="147" customFormat="1">
      <c r="B243" s="335"/>
      <c r="J243" s="1134"/>
      <c r="K243" s="1135"/>
      <c r="L243" s="1136"/>
    </row>
  </sheetData>
  <sheetProtection algorithmName="SHA-512" hashValue="k0Uk29nPKpyf8SrATEjoJlXUIgV9xUCfJSYbVheogbshtdizIwVYKJ8QU9MOgbq4yjRMN/9bduaiP23bWP1c+Q==" saltValue="Il1aHTebbOncr9E3Zwft1Q==" spinCount="100000" sheet="1" formatColumns="0" formatRows="0"/>
  <mergeCells count="112">
    <mergeCell ref="C33:D33"/>
    <mergeCell ref="E33:I33"/>
    <mergeCell ref="C31:D31"/>
    <mergeCell ref="B73:I73"/>
    <mergeCell ref="H74:I74"/>
    <mergeCell ref="H83:I85"/>
    <mergeCell ref="D87:G94"/>
    <mergeCell ref="H94:I94"/>
    <mergeCell ref="H93:I93"/>
    <mergeCell ref="H92:I92"/>
    <mergeCell ref="H91:I91"/>
    <mergeCell ref="H90:I90"/>
    <mergeCell ref="H89:I89"/>
    <mergeCell ref="H88:I88"/>
    <mergeCell ref="H87:I87"/>
    <mergeCell ref="B86:I86"/>
    <mergeCell ref="C76:G76"/>
    <mergeCell ref="C17:D17"/>
    <mergeCell ref="E17:I17"/>
    <mergeCell ref="A13:I13"/>
    <mergeCell ref="H60:I68"/>
    <mergeCell ref="H54:I58"/>
    <mergeCell ref="H50:I52"/>
    <mergeCell ref="E39:I39"/>
    <mergeCell ref="F24:I24"/>
    <mergeCell ref="F25:I25"/>
    <mergeCell ref="F26:I26"/>
    <mergeCell ref="B22:I22"/>
    <mergeCell ref="F23:I23"/>
    <mergeCell ref="C42:D42"/>
    <mergeCell ref="E42:I42"/>
    <mergeCell ref="B53:I53"/>
    <mergeCell ref="C41:D41"/>
    <mergeCell ref="C28:D28"/>
    <mergeCell ref="E30:H30"/>
    <mergeCell ref="E31:H31"/>
    <mergeCell ref="B36:I36"/>
    <mergeCell ref="E28:I28"/>
    <mergeCell ref="B29:I29"/>
    <mergeCell ref="B32:I32"/>
    <mergeCell ref="C30:D30"/>
    <mergeCell ref="E38:I38"/>
    <mergeCell ref="C39:D39"/>
    <mergeCell ref="E41:I41"/>
    <mergeCell ref="C37:D37"/>
    <mergeCell ref="C34:D34"/>
    <mergeCell ref="E34:I34"/>
    <mergeCell ref="E37:G37"/>
    <mergeCell ref="C3:G3"/>
    <mergeCell ref="C4:G4"/>
    <mergeCell ref="C5:D5"/>
    <mergeCell ref="C6:D6"/>
    <mergeCell ref="F6:G6"/>
    <mergeCell ref="C7:I7"/>
    <mergeCell ref="C9:I9"/>
    <mergeCell ref="C10:I10"/>
    <mergeCell ref="C8:F8"/>
    <mergeCell ref="H8:I8"/>
    <mergeCell ref="C18:D18"/>
    <mergeCell ref="E18:I18"/>
    <mergeCell ref="E19:I19"/>
    <mergeCell ref="B11:I11"/>
    <mergeCell ref="C15:D15"/>
    <mergeCell ref="E15:I15"/>
    <mergeCell ref="B16:I16"/>
    <mergeCell ref="E20:I21"/>
    <mergeCell ref="D97:G97"/>
    <mergeCell ref="H97:I97"/>
    <mergeCell ref="H99:I99"/>
    <mergeCell ref="D99:G99"/>
    <mergeCell ref="B98:I98"/>
    <mergeCell ref="G82:I82"/>
    <mergeCell ref="B47:I47"/>
    <mergeCell ref="B59:G59"/>
    <mergeCell ref="H76:I76"/>
    <mergeCell ref="C44:I44"/>
    <mergeCell ref="H70:I72"/>
    <mergeCell ref="G78:G81"/>
    <mergeCell ref="H81:I81"/>
    <mergeCell ref="H80:I80"/>
    <mergeCell ref="H79:I79"/>
    <mergeCell ref="H78:I78"/>
    <mergeCell ref="B69:I69"/>
    <mergeCell ref="C43:D43"/>
    <mergeCell ref="C35:I35"/>
    <mergeCell ref="C40:D40"/>
    <mergeCell ref="E40:I40"/>
    <mergeCell ref="E43:I43"/>
    <mergeCell ref="C38:D38"/>
    <mergeCell ref="C46:G46"/>
    <mergeCell ref="B110:C110"/>
    <mergeCell ref="D108:F108"/>
    <mergeCell ref="G108:I108"/>
    <mergeCell ref="D109:F109"/>
    <mergeCell ref="G109:I109"/>
    <mergeCell ref="D110:F110"/>
    <mergeCell ref="G110:I110"/>
    <mergeCell ref="D106:F106"/>
    <mergeCell ref="G106:I106"/>
    <mergeCell ref="D107:F107"/>
    <mergeCell ref="G107:I107"/>
    <mergeCell ref="B102:I102"/>
    <mergeCell ref="H101:I101"/>
    <mergeCell ref="D101:G101"/>
    <mergeCell ref="D103:G103"/>
    <mergeCell ref="H103:I103"/>
    <mergeCell ref="D104:G104"/>
    <mergeCell ref="H100:I100"/>
    <mergeCell ref="D100:G100"/>
    <mergeCell ref="H104:I104"/>
    <mergeCell ref="D105:G105"/>
    <mergeCell ref="H105:I105"/>
  </mergeCells>
  <phoneticPr fontId="7" type="noConversion"/>
  <conditionalFormatting sqref="F14 H12">
    <cfRule type="expression" dxfId="69" priority="73">
      <formula>#REF!=0</formula>
    </cfRule>
  </conditionalFormatting>
  <conditionalFormatting sqref="I75 M75:M76 N75 N68 N4:N5 I14 I12 M14 M12 N26:N35 I31 N37:N45">
    <cfRule type="expression" dxfId="68" priority="74">
      <formula>#REF!=0</formula>
    </cfRule>
  </conditionalFormatting>
  <conditionalFormatting sqref="H14">
    <cfRule type="expression" dxfId="67" priority="75">
      <formula>#REF!=0</formula>
    </cfRule>
  </conditionalFormatting>
  <conditionalFormatting sqref="G14 G12">
    <cfRule type="expression" dxfId="66" priority="71">
      <formula>#REF!=0</formula>
    </cfRule>
  </conditionalFormatting>
  <conditionalFormatting sqref="G75">
    <cfRule type="expression" dxfId="65" priority="72">
      <formula>#REF!=0</formula>
    </cfRule>
  </conditionalFormatting>
  <conditionalFormatting sqref="E75 E14 E12">
    <cfRule type="expression" dxfId="64" priority="76">
      <formula>C$19=0</formula>
    </cfRule>
  </conditionalFormatting>
  <conditionalFormatting sqref="E19:I19">
    <cfRule type="expression" dxfId="63" priority="173">
      <formula>$J$19=1</formula>
    </cfRule>
  </conditionalFormatting>
  <conditionalFormatting sqref="E20">
    <cfRule type="expression" dxfId="62" priority="177">
      <formula>$J20=1</formula>
    </cfRule>
  </conditionalFormatting>
  <conditionalFormatting sqref="B44:C44 B37:C37 B38:D43">
    <cfRule type="expression" dxfId="61" priority="35">
      <formula>$J$30=1</formula>
    </cfRule>
  </conditionalFormatting>
  <conditionalFormatting sqref="C33:D34 C35">
    <cfRule type="expression" dxfId="60" priority="34">
      <formula>$J$30&gt;1</formula>
    </cfRule>
  </conditionalFormatting>
  <conditionalFormatting sqref="C44">
    <cfRule type="expression" dxfId="59" priority="30">
      <formula>$J$30=1</formula>
    </cfRule>
  </conditionalFormatting>
  <conditionalFormatting sqref="E37:E43 B37:B44 H37:I37">
    <cfRule type="expression" dxfId="58" priority="29">
      <formula>$J$30=1</formula>
    </cfRule>
  </conditionalFormatting>
  <conditionalFormatting sqref="E33:I34 B33:B35">
    <cfRule type="expression" dxfId="57" priority="28">
      <formula>$J$30&gt;1</formula>
    </cfRule>
  </conditionalFormatting>
  <conditionalFormatting sqref="H53:H54">
    <cfRule type="expression" dxfId="56" priority="188">
      <formula>$J$49=1</formula>
    </cfRule>
  </conditionalFormatting>
  <conditionalFormatting sqref="C88:C93 C87:D87 H87:H93">
    <cfRule type="expression" dxfId="55" priority="190">
      <formula>$J$49=1</formula>
    </cfRule>
  </conditionalFormatting>
  <conditionalFormatting sqref="E31 I30:I31">
    <cfRule type="expression" dxfId="54" priority="22">
      <formula>$J$31=1</formula>
    </cfRule>
  </conditionalFormatting>
  <conditionalFormatting sqref="I49">
    <cfRule type="expression" dxfId="53" priority="16">
      <formula>$J$49=1</formula>
    </cfRule>
  </conditionalFormatting>
  <conditionalFormatting sqref="H37:I37">
    <cfRule type="expression" dxfId="52" priority="14">
      <formula>$J$31=1</formula>
    </cfRule>
  </conditionalFormatting>
  <conditionalFormatting sqref="L53">
    <cfRule type="expression" dxfId="51" priority="12">
      <formula>L$49&lt;&gt;0</formula>
    </cfRule>
  </conditionalFormatting>
  <conditionalFormatting sqref="C54:G58 C50:G51">
    <cfRule type="expression" dxfId="50" priority="8">
      <formula>C$49&lt;&gt;0</formula>
    </cfRule>
  </conditionalFormatting>
  <conditionalFormatting sqref="C52:G52">
    <cfRule type="expression" dxfId="49" priority="200">
      <formula>AND(C$49&lt;&gt;0,$J$30=4)</formula>
    </cfRule>
  </conditionalFormatting>
  <conditionalFormatting sqref="C70:G72">
    <cfRule type="expression" dxfId="48" priority="201">
      <formula>AND(C$49&lt;&gt;0,$J$30=1)</formula>
    </cfRule>
  </conditionalFormatting>
  <dataValidations count="11">
    <dataValidation allowBlank="1" showInputMessage="1" showErrorMessage="1" prompt="Provide sum of fossil fuel consumption over the last year.  Value used in savings estimates, but not in incentive calculations or allocations.  If appropriate billing data is not available, PA staff may apply reasonable assumed consumption values. " sqref="B27 B21 B23" xr:uid="{F2C12754-D087-4E27-BDBF-5DC9AD97FE7E}"/>
    <dataValidation allowBlank="1" showInputMessage="1" showErrorMessage="1" prompt="Provide sum of electric consumption over the last year.  Value used in savings estimates, but not in incentive calculations or allocations.  If appropriate billing data is not available, PA staff may apply reasonable assumed consumption values. " sqref="B20" xr:uid="{3F41C441-6786-404D-BC25-55174F8641E0}"/>
    <dataValidation allowBlank="1" showInputMessage="1" showErrorMessage="1" prompt="Principle Building Activity list aligned with EUI benchmark table.  Selection informs EUI feedback and incentive allocation.  " sqref="B17" xr:uid="{C31FE5A5-3A9B-4BD7-9FBE-B144B8804FDF}"/>
    <dataValidation allowBlank="1" showInputMessage="1" showErrorMessage="1" prompt="The Total Building Area should include all building spaces, whether or not they are included in the project or are conditioned.  " sqref="B19" xr:uid="{48D584EE-9C10-46D4-9BBE-A2A9B12B1553}"/>
    <dataValidation type="whole" operator="greaterThan" allowBlank="1" showInputMessage="1" showErrorMessage="1" sqref="C19:C20 C49:G49 C53:G53" xr:uid="{6467EF6E-ED9B-47E4-87BF-B3A3F76D3E7D}">
      <formula1>-1</formula1>
    </dataValidation>
    <dataValidation allowBlank="1" showInputMessage="1" showErrorMessage="1" prompt="Indicate what system is used as back up if a heat pump is used for heating.  The tool assumes a switchover temperature of 30degF" sqref="B58" xr:uid="{4E1ED91B-AD23-4FBD-AF87-4C972C94FD6B}"/>
    <dataValidation type="list" allowBlank="1" showInputMessage="1" showErrorMessage="1" sqref="C39:D40 C60:G68 C70:G72" xr:uid="{6BC209D9-39B9-4425-80D7-BB3B9206E09A}">
      <formula1>"1,0"</formula1>
    </dataValidation>
    <dataValidation allowBlank="1" showInputMessage="1" showErrorMessage="1" prompt="The Area Occupancy should reflect the schedule that the area is occupied.  Example- a space is occupied 5 days a week, but the HVAC systems operates 24/7.  The user should select &quot;5-6 Day with Unoccupied Nights&quot; for the Area Occupancy." sqref="B51" xr:uid="{BF8D8596-0F1C-4156-8E7E-F3D1A508DA1F}"/>
    <dataValidation allowBlank="1" showInputMessage="1" showErrorMessage="1" prompt="Some facilities may have multiple heating systems serving the same space.  The primary heating system is expected to serve the majority of the heating load, including shoulder seasons, but may be supplemented by a secondary back up system. " sqref="B55" xr:uid="{8E7E382D-A04F-4876-A4DE-F6C6C60FF63E}"/>
    <dataValidation type="list" allowBlank="1" showInputMessage="1" showErrorMessage="1" sqref="C31:D31 C37:D37" xr:uid="{45F1A889-6167-4C1A-B14B-71C71BA98222}">
      <formula1>"Yes,No,Unknown"</formula1>
    </dataValidation>
    <dataValidation type="list" allowBlank="1" showInputMessage="1" showErrorMessage="1" sqref="C39:D41" xr:uid="{88768D3A-9D5D-43DE-9409-C15A9086DD51}">
      <formula1>"1,2,3,4,5"</formula1>
    </dataValidation>
  </dataValidations>
  <hyperlinks>
    <hyperlink ref="I30" r:id="rId1" xr:uid="{6BE66433-8174-48DB-ADE6-AAD965370336}"/>
    <hyperlink ref="I31" r:id="rId2" display="Click for Connected Solutions Information" xr:uid="{455FDC60-10C2-455D-A24A-6BA0CCB8D829}"/>
    <hyperlink ref="I37" r:id="rId3" xr:uid="{B8DDAAED-2670-4DBF-81E3-8D3B2436E0F7}"/>
    <hyperlink ref="H99:I99" location="'2. User Inputs and Savings'!A13" display="Building Energy Use Intensity" xr:uid="{692B06C9-F8D1-4FB9-9504-C50AFF8A76C9}"/>
    <hyperlink ref="H103:I103" location="'2. User Inputs and Savings'!A13" display="Building Energy Use Intensity" xr:uid="{7494E21E-324E-4B89-8644-46AE0B55A375}"/>
    <hyperlink ref="H101:I101" location="'2. User Inputs and Savings'!A26" display="Control System Information" xr:uid="{8F844DA6-8ED1-4387-B5E4-FC1175027ABD}"/>
    <hyperlink ref="H105:I105" location="'2. User Inputs and Savings'!A26" display="Control System Information" xr:uid="{41E3863B-315E-44C8-82C7-34C90CF8D2D8}"/>
    <hyperlink ref="H100:I100" location="'2. User Inputs and Savings'!A44" display="Project Information" xr:uid="{C39AD030-1B44-4734-826B-67FB7B7304C7}"/>
    <hyperlink ref="H104:I104" location="'2. User Inputs and Savings'!A44" display="Project Information" xr:uid="{E3344C62-9EBD-4CA5-B1D5-7BD33BA1983F}"/>
    <hyperlink ref="A1" location="'User Inputs and Savings'!A75" display="Jump to Results" xr:uid="{E78210A6-F37F-4176-BF11-0663821F8759}"/>
    <hyperlink ref="H37" r:id="rId4" display="Click for additional BMS program information" xr:uid="{215E2E94-A920-4E73-B062-1E1C0F68844E}"/>
    <hyperlink ref="A107" location="'User Inputs and Savings'!A1" display="Jump to Top" xr:uid="{D173402F-DAB4-4EEC-B535-E58EEF3FD1F2}"/>
  </hyperlinks>
  <pageMargins left="0.7" right="0.7" top="0.75" bottom="0.75" header="0.3" footer="0.3"/>
  <pageSetup orientation="portrait" r:id="rId5"/>
  <extLst>
    <ext xmlns:x14="http://schemas.microsoft.com/office/spreadsheetml/2009/9/main" uri="{78C0D931-6437-407d-A8EE-F0AAD7539E65}">
      <x14:conditionalFormattings>
        <x14:conditionalFormatting xmlns:xm="http://schemas.microsoft.com/office/excel/2006/main">
          <x14:cfRule type="expression" priority="9" id="{341ED5D8-644C-4487-A8DB-E71A3E6AD69D}">
            <xm:f>AND('Project Savings'!D35=1,C$49&lt;&gt;0)</xm:f>
            <x14:dxf>
              <font>
                <color theme="1"/>
              </font>
              <fill>
                <patternFill>
                  <bgColor theme="5" tint="0.39994506668294322"/>
                </patternFill>
              </fill>
            </x14:dxf>
          </x14:cfRule>
          <xm:sqref>C60:G68</xm:sqref>
        </x14:conditionalFormatting>
        <x14:conditionalFormatting xmlns:xm="http://schemas.microsoft.com/office/excel/2006/main">
          <x14:cfRule type="expression" priority="2" id="{F4605B64-AFE3-4678-8306-C9CF8B25E5AD}">
            <xm:f>'Project Savings'!D$29="none"</xm:f>
            <x14:dxf>
              <font>
                <color theme="0" tint="-0.34998626667073579"/>
              </font>
              <fill>
                <patternFill>
                  <bgColor theme="2" tint="-0.499984740745262"/>
                </patternFill>
              </fill>
            </x14:dxf>
          </x14:cfRule>
          <xm:sqref>C58:G58</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D7CC96E-D60E-4553-8F60-9B3B2EC32360}">
          <x14:formula1>
            <xm:f>'EUI Benchmark'!$B$20:$B$37</xm:f>
          </x14:formula1>
          <xm:sqref>C17</xm:sqref>
        </x14:dataValidation>
        <x14:dataValidation type="list" allowBlank="1" showInputMessage="1" showErrorMessage="1" xr:uid="{8E0DC21B-DA65-48C5-84CE-F89A76ED9780}">
          <x14:formula1>
            <xm:f>Tables!$B$24:$B$28</xm:f>
          </x14:formula1>
          <xm:sqref>I6</xm:sqref>
        </x14:dataValidation>
        <x14:dataValidation type="list" allowBlank="1" showInputMessage="1" showErrorMessage="1" xr:uid="{2EDEF1F8-774A-4A65-B5B7-C75FB25E2E1C}">
          <x14:formula1>
            <xm:f>Tables!$B$31:$B$37</xm:f>
          </x14:formula1>
          <xm:sqref>I5</xm:sqref>
        </x14:dataValidation>
        <x14:dataValidation type="list" allowBlank="1" showInputMessage="1" showErrorMessage="1" xr:uid="{08E76B48-CD1B-46B6-80D0-61155C847E30}">
          <x14:formula1>
            <xm:f>Tables!$B$10:$B$13</xm:f>
          </x14:formula1>
          <xm:sqref>C18</xm:sqref>
        </x14:dataValidation>
        <x14:dataValidation type="list" allowBlank="1" showInputMessage="1" showErrorMessage="1" xr:uid="{A237C204-56FC-456A-BBDE-96871AC46232}">
          <x14:formula1>
            <xm:f>Tables!$B$4:$B$6</xm:f>
          </x14:formula1>
          <xm:sqref>C51:G51</xm:sqref>
        </x14:dataValidation>
        <x14:dataValidation type="list" allowBlank="1" showInputMessage="1" showErrorMessage="1" xr:uid="{A7B863FA-4662-4EBF-B816-ECD569CDA50D}">
          <x14:formula1>
            <xm:f>'Equipment and SOO'!$C$18:$C$23</xm:f>
          </x14:formula1>
          <xm:sqref>C54:G54</xm:sqref>
        </x14:dataValidation>
        <x14:dataValidation type="list" allowBlank="1" showInputMessage="1" showErrorMessage="1" xr:uid="{CAB1BF71-1F4A-4E2B-8FB9-34FC4F2DD179}">
          <x14:formula1>
            <xm:f>'Equipment and SOO'!$B$79:$B$83</xm:f>
          </x14:formula1>
          <xm:sqref>C30:D30</xm:sqref>
        </x14:dataValidation>
        <x14:dataValidation type="list" allowBlank="1" showInputMessage="1" showErrorMessage="1" xr:uid="{A49CFED9-A475-478F-88EB-7E91EF8FDD36}">
          <x14:formula1>
            <xm:f>'Equipment and SOO'!$B$81:$B$82</xm:f>
          </x14:formula1>
          <xm:sqref>C52:G52</xm:sqref>
        </x14:dataValidation>
        <x14:dataValidation type="list" operator="greaterThan" allowBlank="1" showInputMessage="1" showErrorMessage="1" xr:uid="{15AA797F-D616-4F80-88CB-5878269939AF}">
          <x14:formula1>
            <xm:f>'Equipment and SOO'!$B$81:$B$82</xm:f>
          </x14:formula1>
          <xm:sqref>C52:G52</xm:sqref>
        </x14:dataValidation>
        <x14:dataValidation type="list" allowBlank="1" showInputMessage="1" showErrorMessage="1" xr:uid="{15CEAC8A-D289-4668-8AC5-0A867CC55A5D}">
          <x14:formula1>
            <xm:f>'Equipment and SOO'!$C$7:$C$14</xm:f>
          </x14:formula1>
          <xm:sqref>C55:G55</xm:sqref>
        </x14:dataValidation>
        <x14:dataValidation type="list" allowBlank="1" showInputMessage="1" showErrorMessage="1" xr:uid="{008D8D7A-01D8-442F-A935-B79E6CD740FE}">
          <x14:formula1>
            <xm:f>'Equipment and SOO'!$C$15:$C$17</xm:f>
          </x14:formula1>
          <xm:sqref>C56:G56</xm:sqref>
        </x14:dataValidation>
        <x14:dataValidation type="list" operator="greaterThan" allowBlank="1" showInputMessage="1" showErrorMessage="1" xr:uid="{C544D50B-9F55-467C-8D03-9F43950EA477}">
          <x14:formula1>
            <xm:f>'Equipment and SOO'!$C$31:$C$41</xm:f>
          </x14:formula1>
          <xm:sqref>C57:G57</xm:sqref>
        </x14:dataValidation>
        <x14:dataValidation type="list" allowBlank="1" showInputMessage="1" showErrorMessage="1" xr:uid="{1240C85A-0785-471B-8D32-A3DBF11B121F}">
          <x14:formula1>
            <xm:f>INDIRECT('Project Savings'!#REF!)</xm:f>
          </x14:formula1>
          <xm:sqref>C57:G57</xm:sqref>
        </x14:dataValidation>
        <x14:dataValidation type="list" allowBlank="1" showInputMessage="1" showErrorMessage="1" xr:uid="{41A649FC-8E78-4105-AD86-0200763E1595}">
          <x14:formula1>
            <xm:f>INDIRECT('Project Savings'!D$29)</xm:f>
          </x14:formula1>
          <xm:sqref>C58:G58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F0703-AEF2-485E-8870-4BE585D6D551}">
  <sheetPr codeName="Sheet2">
    <tabColor theme="4" tint="0.39997558519241921"/>
  </sheetPr>
  <dimension ref="A1:AW76"/>
  <sheetViews>
    <sheetView zoomScale="85" zoomScaleNormal="85" zoomScalePageLayoutView="60" workbookViewId="0">
      <selection activeCell="C11" sqref="C11:D11"/>
    </sheetView>
  </sheetViews>
  <sheetFormatPr defaultColWidth="8.7109375" defaultRowHeight="14.45"/>
  <cols>
    <col min="1" max="1" width="8.7109375" style="147"/>
    <col min="2" max="2" width="48.42578125" style="147" customWidth="1"/>
    <col min="3" max="3" width="22.5703125" style="1210" customWidth="1"/>
    <col min="4" max="4" width="19.28515625" style="147" customWidth="1"/>
    <col min="5" max="5" width="23.140625" style="147" customWidth="1"/>
    <col min="6" max="7" width="17.85546875" style="147" customWidth="1"/>
    <col min="8" max="8" width="18.85546875" style="147" customWidth="1"/>
    <col min="9" max="9" width="38.42578125" style="147" customWidth="1"/>
    <col min="10" max="10" width="8.7109375" style="147" customWidth="1"/>
    <col min="11" max="11" width="10.85546875" style="147" customWidth="1"/>
    <col min="12" max="12" width="39.140625" style="147" customWidth="1"/>
    <col min="13" max="13" width="25.85546875" style="147" customWidth="1"/>
    <col min="14" max="16384" width="8.7109375" style="147"/>
  </cols>
  <sheetData>
    <row r="1" spans="1:49" customFormat="1" ht="18.600000000000001">
      <c r="A1" s="147"/>
      <c r="B1" s="147"/>
      <c r="C1" s="147"/>
      <c r="D1" s="147"/>
      <c r="E1" s="147"/>
      <c r="F1" s="147"/>
      <c r="G1" s="147"/>
      <c r="H1" s="147"/>
      <c r="I1" s="147"/>
      <c r="J1" s="147"/>
      <c r="K1" s="147"/>
      <c r="L1" s="1066" t="s">
        <v>217</v>
      </c>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row>
    <row r="2" spans="1:49" customFormat="1" ht="18.600000000000001">
      <c r="A2" s="147"/>
      <c r="B2" s="1261" t="s">
        <v>414</v>
      </c>
      <c r="C2" s="1262"/>
      <c r="D2" s="1262"/>
      <c r="E2" s="1262"/>
      <c r="F2" s="1262"/>
      <c r="G2" s="1262"/>
      <c r="H2" s="1262"/>
      <c r="I2" s="1263"/>
      <c r="J2" s="340"/>
      <c r="K2" s="340"/>
      <c r="L2" s="1067" t="s">
        <v>226</v>
      </c>
      <c r="M2" s="340"/>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row>
    <row r="3" spans="1:49" customFormat="1" ht="14.45" customHeight="1">
      <c r="A3" s="147"/>
      <c r="B3" s="1573" t="s">
        <v>415</v>
      </c>
      <c r="C3" s="1574"/>
      <c r="D3" s="1574"/>
      <c r="E3" s="1574"/>
      <c r="F3" s="1574"/>
      <c r="G3" s="1574"/>
      <c r="H3" s="1574"/>
      <c r="I3" s="1575"/>
      <c r="J3" s="275"/>
      <c r="K3" s="275"/>
      <c r="L3" s="1068" t="s">
        <v>231</v>
      </c>
      <c r="M3" s="275"/>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row>
    <row r="4" spans="1:49" customFormat="1" ht="14.45" customHeight="1">
      <c r="A4" s="147"/>
      <c r="B4" s="1576"/>
      <c r="C4" s="1577"/>
      <c r="D4" s="1577"/>
      <c r="E4" s="1577"/>
      <c r="F4" s="1577"/>
      <c r="G4" s="1577"/>
      <c r="H4" s="1577"/>
      <c r="I4" s="1578"/>
      <c r="J4" s="275"/>
      <c r="K4" s="275"/>
      <c r="L4" s="1069" t="s">
        <v>233</v>
      </c>
      <c r="M4" s="275"/>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row>
    <row r="5" spans="1:49" customFormat="1">
      <c r="A5" s="147"/>
      <c r="B5" s="1579"/>
      <c r="C5" s="1580"/>
      <c r="D5" s="1580"/>
      <c r="E5" s="1580"/>
      <c r="F5" s="1580"/>
      <c r="G5" s="1580"/>
      <c r="H5" s="1580"/>
      <c r="I5" s="1581"/>
      <c r="J5" s="275"/>
      <c r="K5" s="275"/>
      <c r="L5" s="275"/>
      <c r="M5" s="275"/>
      <c r="N5" s="147"/>
      <c r="O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row>
    <row r="8" spans="1:49" ht="32.450000000000003">
      <c r="B8" s="370" t="s">
        <v>416</v>
      </c>
      <c r="C8" s="1469" t="s">
        <v>417</v>
      </c>
      <c r="D8" s="1470"/>
      <c r="E8" s="1470"/>
      <c r="F8" s="1470"/>
      <c r="G8" s="1471"/>
      <c r="H8" s="366" t="s">
        <v>216</v>
      </c>
      <c r="I8" s="1264" t="s">
        <v>64</v>
      </c>
    </row>
    <row r="9" spans="1:49" ht="15.6">
      <c r="B9" s="371" t="s">
        <v>218</v>
      </c>
      <c r="C9" s="1472"/>
      <c r="D9" s="1472"/>
      <c r="E9" s="1472"/>
      <c r="F9" s="1472"/>
      <c r="G9" s="1473"/>
      <c r="H9" s="366" t="s">
        <v>219</v>
      </c>
      <c r="I9" s="1265">
        <v>45404</v>
      </c>
    </row>
    <row r="10" spans="1:49" ht="15.6">
      <c r="B10" s="371" t="s">
        <v>221</v>
      </c>
      <c r="C10" s="1474"/>
      <c r="D10" s="1475"/>
      <c r="E10" s="366" t="s">
        <v>222</v>
      </c>
      <c r="F10" s="369"/>
      <c r="G10" s="366" t="s">
        <v>223</v>
      </c>
      <c r="H10" s="367" t="s">
        <v>224</v>
      </c>
      <c r="I10" s="1273" t="s">
        <v>418</v>
      </c>
    </row>
    <row r="11" spans="1:49" ht="15.6">
      <c r="B11" s="371" t="s">
        <v>227</v>
      </c>
      <c r="C11" s="1474"/>
      <c r="D11" s="1475"/>
      <c r="E11" s="366" t="s">
        <v>228</v>
      </c>
      <c r="F11" s="1476"/>
      <c r="G11" s="1477"/>
      <c r="H11" s="1138" t="s">
        <v>229</v>
      </c>
      <c r="I11" s="1273" t="s">
        <v>230</v>
      </c>
    </row>
    <row r="12" spans="1:49" ht="15.6">
      <c r="B12" s="1139" t="s">
        <v>232</v>
      </c>
      <c r="C12" s="1478"/>
      <c r="D12" s="1478"/>
      <c r="E12" s="1478"/>
      <c r="F12" s="1478"/>
      <c r="G12" s="1478"/>
      <c r="H12" s="1478"/>
      <c r="I12" s="1479"/>
    </row>
    <row r="13" spans="1:49" ht="15.6">
      <c r="B13" s="1140" t="s">
        <v>234</v>
      </c>
      <c r="C13" s="1483" t="s">
        <v>150</v>
      </c>
      <c r="D13" s="1483"/>
      <c r="E13" s="1483"/>
      <c r="F13" s="1483"/>
      <c r="G13" s="1141" t="s">
        <v>235</v>
      </c>
      <c r="H13" s="1484"/>
      <c r="I13" s="1485"/>
    </row>
    <row r="14" spans="1:49" ht="15.6">
      <c r="B14" s="1140" t="s">
        <v>236</v>
      </c>
      <c r="C14" s="1636"/>
      <c r="D14" s="1637"/>
      <c r="E14" s="1637"/>
      <c r="F14" s="1637"/>
      <c r="G14" s="1637"/>
      <c r="H14" s="1637"/>
      <c r="I14" s="1638"/>
    </row>
    <row r="15" spans="1:49" ht="15.6">
      <c r="B15" s="1140" t="s">
        <v>237</v>
      </c>
      <c r="C15" s="1636"/>
      <c r="D15" s="1637"/>
      <c r="E15" s="1637"/>
      <c r="F15" s="1637"/>
      <c r="G15" s="1637"/>
      <c r="H15" s="1637"/>
      <c r="I15" s="1638"/>
    </row>
    <row r="16" spans="1:49" ht="15.6" customHeight="1">
      <c r="B16" s="1639" t="s">
        <v>419</v>
      </c>
      <c r="C16" s="1640"/>
      <c r="D16" s="1640"/>
      <c r="E16" s="1640"/>
      <c r="F16" s="1640"/>
      <c r="G16" s="1640"/>
      <c r="H16" s="1640"/>
      <c r="I16" s="1641"/>
    </row>
    <row r="18" spans="1:24">
      <c r="B18" s="780" t="s">
        <v>420</v>
      </c>
      <c r="C18" s="1642" t="s">
        <v>421</v>
      </c>
      <c r="D18" s="1643"/>
    </row>
    <row r="20" spans="1:24" ht="27.95" customHeight="1">
      <c r="A20" s="150" t="s">
        <v>422</v>
      </c>
      <c r="B20" s="1210"/>
      <c r="C20" s="147"/>
    </row>
    <row r="21" spans="1:24" ht="26.1">
      <c r="A21" s="150"/>
      <c r="B21" s="1211"/>
      <c r="C21" s="1621" t="s">
        <v>423</v>
      </c>
      <c r="D21" s="1622"/>
      <c r="E21" s="1398" t="s">
        <v>424</v>
      </c>
      <c r="F21" s="1398"/>
      <c r="G21" s="1398"/>
      <c r="H21" s="1398"/>
      <c r="I21" s="1622"/>
      <c r="L21" s="1212" t="s">
        <v>425</v>
      </c>
      <c r="M21" s="1582" t="s">
        <v>70</v>
      </c>
      <c r="N21" s="1583"/>
      <c r="O21" s="1583"/>
      <c r="P21" s="1583"/>
      <c r="Q21" s="1583"/>
      <c r="R21" s="1583"/>
      <c r="S21" s="1583"/>
      <c r="T21" s="1583"/>
      <c r="U21" s="1583"/>
      <c r="V21" s="1583"/>
      <c r="W21" s="1583"/>
      <c r="X21" s="1584"/>
    </row>
    <row r="22" spans="1:24" ht="29.1" customHeight="1">
      <c r="A22" s="150"/>
      <c r="B22" s="1630" t="s">
        <v>426</v>
      </c>
      <c r="C22" s="1631"/>
      <c r="D22" s="1631"/>
      <c r="E22" s="1631"/>
      <c r="F22" s="1631"/>
      <c r="G22" s="1631"/>
      <c r="H22" s="1631"/>
      <c r="I22" s="1632"/>
      <c r="L22" s="151" t="s">
        <v>427</v>
      </c>
      <c r="M22" s="1585" t="s">
        <v>428</v>
      </c>
      <c r="N22" s="1585"/>
      <c r="O22" s="1585"/>
      <c r="P22" s="1585"/>
      <c r="Q22" s="1585"/>
      <c r="R22" s="1585"/>
      <c r="S22" s="1585"/>
      <c r="T22" s="1585"/>
      <c r="U22" s="1585"/>
      <c r="V22" s="1585"/>
      <c r="W22" s="1585"/>
      <c r="X22" s="1585"/>
    </row>
    <row r="23" spans="1:24" ht="22.5" customHeight="1">
      <c r="A23" s="150"/>
      <c r="B23" s="1213" t="s">
        <v>429</v>
      </c>
      <c r="C23" s="1644"/>
      <c r="D23" s="1645"/>
      <c r="E23" s="1646"/>
      <c r="F23" s="1647"/>
      <c r="G23" s="1647"/>
      <c r="H23" s="1647"/>
      <c r="I23" s="1648"/>
      <c r="L23" s="151" t="s">
        <v>430</v>
      </c>
      <c r="M23" s="1585" t="s">
        <v>431</v>
      </c>
      <c r="N23" s="1585"/>
      <c r="O23" s="1585"/>
      <c r="P23" s="1585"/>
      <c r="Q23" s="1585"/>
      <c r="R23" s="1585"/>
      <c r="S23" s="1585"/>
      <c r="T23" s="1585"/>
      <c r="U23" s="1585"/>
      <c r="V23" s="1585"/>
      <c r="W23" s="1585"/>
      <c r="X23" s="1585"/>
    </row>
    <row r="24" spans="1:24" ht="17.100000000000001" customHeight="1">
      <c r="A24" s="150"/>
      <c r="B24" s="1214" t="s">
        <v>432</v>
      </c>
      <c r="C24" s="1623"/>
      <c r="D24" s="1624"/>
      <c r="E24" s="1611"/>
      <c r="F24" s="1612"/>
      <c r="G24" s="1612"/>
      <c r="H24" s="1612"/>
      <c r="I24" s="1613"/>
      <c r="L24" s="151" t="s">
        <v>433</v>
      </c>
      <c r="M24" s="1585" t="s">
        <v>434</v>
      </c>
      <c r="N24" s="1585"/>
      <c r="O24" s="1585"/>
      <c r="P24" s="1585"/>
      <c r="Q24" s="1585"/>
      <c r="R24" s="1585"/>
      <c r="S24" s="1585"/>
      <c r="T24" s="1585"/>
      <c r="U24" s="1585"/>
      <c r="V24" s="1585"/>
      <c r="W24" s="1585"/>
      <c r="X24" s="1585"/>
    </row>
    <row r="25" spans="1:24" ht="17.100000000000001" customHeight="1">
      <c r="A25" s="150"/>
      <c r="B25" s="1214" t="s">
        <v>435</v>
      </c>
      <c r="C25" s="1623"/>
      <c r="D25" s="1624"/>
      <c r="E25" s="1611"/>
      <c r="F25" s="1612"/>
      <c r="G25" s="1612"/>
      <c r="H25" s="1612"/>
      <c r="I25" s="1613"/>
      <c r="L25" s="151" t="s">
        <v>436</v>
      </c>
      <c r="M25" s="1585" t="s">
        <v>437</v>
      </c>
      <c r="N25" s="1585"/>
      <c r="O25" s="1585"/>
      <c r="P25" s="1585"/>
      <c r="Q25" s="1585"/>
      <c r="R25" s="1585"/>
      <c r="S25" s="1585"/>
      <c r="T25" s="1585"/>
      <c r="U25" s="1585"/>
      <c r="V25" s="1585"/>
      <c r="W25" s="1585"/>
      <c r="X25" s="1585"/>
    </row>
    <row r="26" spans="1:24" ht="17.100000000000001" customHeight="1">
      <c r="A26" s="150"/>
      <c r="B26" s="1215" t="s">
        <v>438</v>
      </c>
      <c r="C26" s="1625"/>
      <c r="D26" s="1626"/>
      <c r="E26" s="1627"/>
      <c r="F26" s="1628"/>
      <c r="G26" s="1628"/>
      <c r="H26" s="1628"/>
      <c r="I26" s="1629"/>
      <c r="L26" s="151" t="s">
        <v>439</v>
      </c>
      <c r="M26" s="1585" t="s">
        <v>440</v>
      </c>
      <c r="N26" s="1585"/>
      <c r="O26" s="1585"/>
      <c r="P26" s="1585"/>
      <c r="Q26" s="1585"/>
      <c r="R26" s="1585"/>
      <c r="S26" s="1585"/>
      <c r="T26" s="1585"/>
      <c r="U26" s="1585"/>
      <c r="V26" s="1585"/>
      <c r="W26" s="1585"/>
      <c r="X26" s="1585"/>
    </row>
    <row r="27" spans="1:24" ht="26.1">
      <c r="A27" s="150"/>
      <c r="B27" s="1630" t="s">
        <v>245</v>
      </c>
      <c r="C27" s="1631"/>
      <c r="D27" s="1631"/>
      <c r="E27" s="1631"/>
      <c r="F27" s="1631"/>
      <c r="G27" s="1631"/>
      <c r="H27" s="1631"/>
      <c r="I27" s="1632"/>
      <c r="L27" s="151" t="s">
        <v>441</v>
      </c>
      <c r="M27" s="1585" t="s">
        <v>442</v>
      </c>
      <c r="N27" s="1585"/>
      <c r="O27" s="1585"/>
      <c r="P27" s="1585"/>
      <c r="Q27" s="1585"/>
      <c r="R27" s="1585"/>
      <c r="S27" s="1585"/>
      <c r="T27" s="1585"/>
      <c r="U27" s="1585"/>
      <c r="V27" s="1585"/>
      <c r="W27" s="1585"/>
      <c r="X27" s="1585"/>
    </row>
    <row r="28" spans="1:24" ht="17.45" customHeight="1">
      <c r="A28" s="150"/>
      <c r="B28" s="1213" t="s">
        <v>443</v>
      </c>
      <c r="C28" s="1603"/>
      <c r="D28" s="1603"/>
      <c r="E28" s="1591" t="s">
        <v>444</v>
      </c>
      <c r="F28" s="1592"/>
      <c r="G28" s="1592"/>
      <c r="H28" s="1592"/>
      <c r="I28" s="1593"/>
    </row>
    <row r="29" spans="1:24" ht="17.45" customHeight="1">
      <c r="A29" s="150"/>
      <c r="B29" s="1214" t="s">
        <v>445</v>
      </c>
      <c r="C29" s="1610"/>
      <c r="D29" s="1610"/>
      <c r="E29" s="1594"/>
      <c r="F29" s="1595"/>
      <c r="G29" s="1595"/>
      <c r="H29" s="1595"/>
      <c r="I29" s="1596"/>
    </row>
    <row r="30" spans="1:24" ht="17.45" customHeight="1">
      <c r="A30" s="150"/>
      <c r="B30" s="1214" t="s">
        <v>446</v>
      </c>
      <c r="C30" s="1610"/>
      <c r="D30" s="1610"/>
      <c r="E30" s="1597"/>
      <c r="F30" s="1598"/>
      <c r="G30" s="1598"/>
      <c r="H30" s="1598"/>
      <c r="I30" s="1599"/>
    </row>
    <row r="31" spans="1:24" ht="30.6" customHeight="1">
      <c r="A31" s="150"/>
      <c r="B31" s="1216" t="s">
        <v>447</v>
      </c>
      <c r="C31" s="1603" t="s">
        <v>421</v>
      </c>
      <c r="D31" s="1603"/>
      <c r="E31" s="1604" t="s">
        <v>448</v>
      </c>
      <c r="F31" s="1605"/>
      <c r="G31" s="1605"/>
      <c r="H31" s="1605"/>
      <c r="I31" s="1606"/>
    </row>
    <row r="32" spans="1:24" ht="17.45" customHeight="1">
      <c r="A32" s="150"/>
      <c r="B32" s="1214" t="s">
        <v>449</v>
      </c>
      <c r="C32" s="1603" t="s">
        <v>421</v>
      </c>
      <c r="D32" s="1603"/>
      <c r="E32" s="1611"/>
      <c r="F32" s="1612"/>
      <c r="G32" s="1612"/>
      <c r="H32" s="1612"/>
      <c r="I32" s="1613"/>
      <c r="M32" s="1217" t="s">
        <v>450</v>
      </c>
    </row>
    <row r="33" spans="1:24" ht="17.45" customHeight="1">
      <c r="A33" s="150"/>
      <c r="B33" s="1214" t="s">
        <v>451</v>
      </c>
      <c r="C33" s="1603" t="s">
        <v>421</v>
      </c>
      <c r="D33" s="1603"/>
      <c r="E33" s="1611"/>
      <c r="F33" s="1612"/>
      <c r="G33" s="1612"/>
      <c r="H33" s="1612"/>
      <c r="I33" s="1613"/>
    </row>
    <row r="34" spans="1:24" ht="47.1" customHeight="1">
      <c r="A34" s="150"/>
      <c r="B34" s="1215" t="s">
        <v>452</v>
      </c>
      <c r="C34" s="1589"/>
      <c r="D34" s="1589"/>
      <c r="E34" s="1589"/>
      <c r="F34" s="1589"/>
      <c r="G34" s="1589"/>
      <c r="H34" s="1589"/>
      <c r="I34" s="1590"/>
      <c r="L34" s="1212" t="s">
        <v>453</v>
      </c>
      <c r="M34" s="1582" t="s">
        <v>70</v>
      </c>
      <c r="N34" s="1583"/>
      <c r="O34" s="1583"/>
      <c r="P34" s="1583"/>
      <c r="Q34" s="1583"/>
      <c r="R34" s="1583"/>
      <c r="S34" s="1583"/>
      <c r="T34" s="1583"/>
      <c r="U34" s="1583"/>
      <c r="V34" s="1583"/>
      <c r="W34" s="1583"/>
      <c r="X34" s="1584"/>
    </row>
    <row r="35" spans="1:24" ht="26.1">
      <c r="A35" s="150"/>
      <c r="B35" s="1630" t="s">
        <v>89</v>
      </c>
      <c r="C35" s="1631"/>
      <c r="D35" s="1631"/>
      <c r="E35" s="1631"/>
      <c r="F35" s="1631"/>
      <c r="G35" s="1631"/>
      <c r="H35" s="1631"/>
      <c r="I35" s="1632"/>
      <c r="L35" s="151" t="s">
        <v>454</v>
      </c>
      <c r="M35" s="1585" t="s">
        <v>455</v>
      </c>
      <c r="N35" s="1585"/>
      <c r="O35" s="1585"/>
      <c r="P35" s="1585"/>
      <c r="Q35" s="1585"/>
      <c r="R35" s="1585"/>
      <c r="S35" s="1585"/>
      <c r="T35" s="1585"/>
      <c r="U35" s="1585"/>
      <c r="V35" s="1585"/>
      <c r="W35" s="1585"/>
      <c r="X35" s="1585"/>
    </row>
    <row r="36" spans="1:24" ht="63.95" customHeight="1">
      <c r="A36" s="150"/>
      <c r="B36" s="1218" t="s">
        <v>456</v>
      </c>
      <c r="C36" s="1607" t="s">
        <v>421</v>
      </c>
      <c r="D36" s="1607"/>
      <c r="E36" s="1608" t="s">
        <v>457</v>
      </c>
      <c r="F36" s="1608"/>
      <c r="G36" s="1608"/>
      <c r="H36" s="1608"/>
      <c r="I36" s="1609"/>
      <c r="L36" s="151" t="s">
        <v>458</v>
      </c>
      <c r="M36" s="1586" t="s">
        <v>459</v>
      </c>
      <c r="N36" s="1587"/>
      <c r="O36" s="1587"/>
      <c r="P36" s="1587"/>
      <c r="Q36" s="1587"/>
      <c r="R36" s="1587"/>
      <c r="S36" s="1587"/>
      <c r="T36" s="1587"/>
      <c r="U36" s="1587"/>
      <c r="V36" s="1587"/>
      <c r="W36" s="1587"/>
      <c r="X36" s="1588"/>
    </row>
    <row r="37" spans="1:24" ht="40.5" customHeight="1">
      <c r="A37" s="150"/>
      <c r="B37" s="1219" t="s">
        <v>460</v>
      </c>
      <c r="C37" s="1602"/>
      <c r="D37" s="1602"/>
      <c r="E37" s="1602"/>
      <c r="F37" s="1602"/>
      <c r="G37" s="1602"/>
      <c r="H37" s="1600" t="s">
        <v>461</v>
      </c>
      <c r="I37" s="1601"/>
      <c r="L37" s="151" t="s">
        <v>462</v>
      </c>
      <c r="M37" s="1586" t="s">
        <v>463</v>
      </c>
      <c r="N37" s="1587"/>
      <c r="O37" s="1587"/>
      <c r="P37" s="1587"/>
      <c r="Q37" s="1587"/>
      <c r="R37" s="1587"/>
      <c r="S37" s="1587"/>
      <c r="T37" s="1587"/>
      <c r="U37" s="1587"/>
      <c r="V37" s="1587"/>
      <c r="W37" s="1587"/>
      <c r="X37" s="1588"/>
    </row>
    <row r="38" spans="1:24" ht="39" customHeight="1">
      <c r="A38" s="150"/>
      <c r="B38" s="1219" t="s">
        <v>464</v>
      </c>
      <c r="C38" s="1602"/>
      <c r="D38" s="1602"/>
      <c r="E38" s="1602"/>
      <c r="F38" s="1602"/>
      <c r="G38" s="1602"/>
      <c r="H38" s="1600"/>
      <c r="I38" s="1601"/>
      <c r="L38" s="151" t="s">
        <v>465</v>
      </c>
      <c r="M38" s="1585" t="s">
        <v>466</v>
      </c>
      <c r="N38" s="1585"/>
      <c r="O38" s="1585"/>
      <c r="P38" s="1585"/>
      <c r="Q38" s="1585"/>
      <c r="R38" s="1585"/>
      <c r="S38" s="1585"/>
      <c r="T38" s="1585"/>
      <c r="U38" s="1585"/>
      <c r="V38" s="1585"/>
      <c r="W38" s="1585"/>
      <c r="X38" s="1585"/>
    </row>
    <row r="39" spans="1:24" ht="36.6" customHeight="1">
      <c r="A39" s="150"/>
      <c r="B39" s="1219" t="s">
        <v>467</v>
      </c>
      <c r="C39" s="1602"/>
      <c r="D39" s="1602"/>
      <c r="E39" s="1602"/>
      <c r="F39" s="1602"/>
      <c r="G39" s="1602"/>
      <c r="H39" s="1600"/>
      <c r="I39" s="1601"/>
    </row>
    <row r="40" spans="1:24" ht="48.95" customHeight="1">
      <c r="A40" s="150"/>
      <c r="B40" s="1219" t="s">
        <v>468</v>
      </c>
      <c r="C40" s="1602"/>
      <c r="D40" s="1602"/>
      <c r="E40" s="1602"/>
      <c r="F40" s="1602"/>
      <c r="G40" s="1602"/>
      <c r="H40" s="1600"/>
      <c r="I40" s="1601"/>
    </row>
    <row r="41" spans="1:24" ht="66.599999999999994" customHeight="1">
      <c r="A41" s="150"/>
      <c r="B41" s="1220" t="s">
        <v>452</v>
      </c>
      <c r="C41" s="1649"/>
      <c r="D41" s="1649"/>
      <c r="E41" s="1649"/>
      <c r="F41" s="1649"/>
      <c r="G41" s="1649"/>
      <c r="H41" s="1649"/>
      <c r="I41" s="1650"/>
    </row>
    <row r="42" spans="1:24" ht="26.1">
      <c r="A42" s="150"/>
      <c r="B42" s="1633" t="s">
        <v>469</v>
      </c>
      <c r="C42" s="1634"/>
      <c r="D42" s="1634"/>
      <c r="E42" s="1634"/>
      <c r="F42" s="1634"/>
      <c r="G42" s="1634"/>
      <c r="H42" s="1634"/>
      <c r="I42" s="1635"/>
    </row>
    <row r="43" spans="1:24" ht="36.6" customHeight="1">
      <c r="A43" s="150"/>
      <c r="B43" s="1213" t="s">
        <v>425</v>
      </c>
      <c r="C43" s="1603" t="s">
        <v>433</v>
      </c>
      <c r="D43" s="1603"/>
      <c r="E43" s="1653" t="str">
        <f>VLOOKUP(C43,L22:M27,2,FALSE)</f>
        <v>Incentive sought to replace an existing BMS.  Existing system must be more than 15 years old to be eligible.</v>
      </c>
      <c r="F43" s="1653"/>
      <c r="G43" s="1653"/>
      <c r="H43" s="1653"/>
      <c r="I43" s="1654"/>
      <c r="J43" s="167"/>
    </row>
    <row r="44" spans="1:24" ht="17.100000000000001" customHeight="1">
      <c r="A44" s="150"/>
      <c r="B44" s="1213" t="s">
        <v>470</v>
      </c>
      <c r="C44" s="1603"/>
      <c r="D44" s="1603"/>
      <c r="E44" s="1653" t="s">
        <v>471</v>
      </c>
      <c r="F44" s="1657"/>
      <c r="G44" s="1657"/>
      <c r="H44" s="1657"/>
      <c r="I44" s="1658"/>
    </row>
    <row r="45" spans="1:24" ht="17.100000000000001" customHeight="1">
      <c r="A45" s="150"/>
      <c r="B45" s="1214" t="s">
        <v>472</v>
      </c>
      <c r="C45" s="1610"/>
      <c r="D45" s="1610"/>
      <c r="E45" s="1659" t="s">
        <v>473</v>
      </c>
      <c r="F45" s="1659"/>
      <c r="G45" s="1659"/>
      <c r="H45" s="1659"/>
      <c r="I45" s="1660"/>
    </row>
    <row r="46" spans="1:24" ht="29.1">
      <c r="A46" s="150"/>
      <c r="B46" s="1216" t="s">
        <v>474</v>
      </c>
      <c r="C46" s="1610" t="s">
        <v>421</v>
      </c>
      <c r="D46" s="1610"/>
      <c r="E46" s="1618"/>
      <c r="F46" s="1619"/>
      <c r="G46" s="1619"/>
      <c r="H46" s="1619"/>
      <c r="I46" s="1620"/>
    </row>
    <row r="47" spans="1:24" ht="29.1">
      <c r="A47" s="150"/>
      <c r="B47" s="1221" t="s">
        <v>475</v>
      </c>
      <c r="C47" s="1623"/>
      <c r="D47" s="1624"/>
      <c r="E47" s="1618"/>
      <c r="F47" s="1619"/>
      <c r="G47" s="1619"/>
      <c r="H47" s="1619"/>
      <c r="I47" s="1620"/>
    </row>
    <row r="48" spans="1:24" ht="48.95" customHeight="1">
      <c r="A48" s="150"/>
      <c r="B48" s="1216" t="s">
        <v>476</v>
      </c>
      <c r="C48" s="1617" t="s">
        <v>454</v>
      </c>
      <c r="D48" s="1617"/>
      <c r="E48" s="1655" t="str">
        <f>IFERROR(VLOOKUP(C48,L35:M38,2,FALSE),"")</f>
        <v xml:space="preserve">Provide pictures of field panel (s) with date of manufacturer </v>
      </c>
      <c r="F48" s="1655"/>
      <c r="G48" s="1655"/>
      <c r="H48" s="1655"/>
      <c r="I48" s="1656"/>
    </row>
    <row r="49" spans="1:12" ht="32.1" customHeight="1">
      <c r="A49" s="150"/>
      <c r="B49" s="1216" t="s">
        <v>477</v>
      </c>
      <c r="C49" s="1651"/>
      <c r="D49" s="1652"/>
      <c r="E49" s="1618" t="str">
        <f>IF(C49="","",IF((C49&gt;=15),"Project eligible for Installation of New System incentives","Project not eligible for Installation of New System incentives"))</f>
        <v/>
      </c>
      <c r="F49" s="1619"/>
      <c r="G49" s="1619"/>
      <c r="H49" s="1619"/>
      <c r="I49" s="1620"/>
    </row>
    <row r="50" spans="1:12" ht="32.1" customHeight="1">
      <c r="A50" s="150"/>
      <c r="B50" s="1216" t="s">
        <v>478</v>
      </c>
      <c r="C50" s="1617"/>
      <c r="D50" s="1617"/>
      <c r="E50" s="1618"/>
      <c r="F50" s="1619"/>
      <c r="G50" s="1619"/>
      <c r="H50" s="1619"/>
      <c r="I50" s="1620"/>
    </row>
    <row r="51" spans="1:12" ht="35.1" customHeight="1">
      <c r="A51" s="150"/>
      <c r="B51" s="1215" t="s">
        <v>452</v>
      </c>
      <c r="C51" s="1589"/>
      <c r="D51" s="1589"/>
      <c r="E51" s="1589"/>
      <c r="F51" s="1589"/>
      <c r="G51" s="1589"/>
      <c r="H51" s="1589"/>
      <c r="I51" s="1590"/>
    </row>
    <row r="52" spans="1:12" ht="26.1">
      <c r="A52" s="150"/>
      <c r="B52" s="1630" t="s">
        <v>479</v>
      </c>
      <c r="C52" s="1631"/>
      <c r="D52" s="1631"/>
      <c r="E52" s="1631"/>
      <c r="F52" s="1631"/>
      <c r="G52" s="1631"/>
      <c r="H52" s="1631"/>
      <c r="I52" s="1632"/>
    </row>
    <row r="53" spans="1:12" ht="408.6" customHeight="1">
      <c r="A53" s="150"/>
      <c r="B53" s="1222" t="s">
        <v>480</v>
      </c>
      <c r="C53" s="1614"/>
      <c r="D53" s="1615"/>
      <c r="E53" s="1615"/>
      <c r="F53" s="1615"/>
      <c r="G53" s="1615"/>
      <c r="H53" s="1615"/>
      <c r="I53" s="1616"/>
    </row>
    <row r="58" spans="1:12">
      <c r="L58" s="1217" t="s">
        <v>450</v>
      </c>
    </row>
    <row r="62" spans="1:12">
      <c r="C62" s="470"/>
    </row>
    <row r="63" spans="1:12">
      <c r="C63" s="147"/>
    </row>
    <row r="64" spans="1:12">
      <c r="C64" s="147"/>
    </row>
    <row r="65" spans="3:3">
      <c r="C65" s="147"/>
    </row>
    <row r="66" spans="3:3">
      <c r="C66" s="147"/>
    </row>
    <row r="67" spans="3:3">
      <c r="C67" s="147"/>
    </row>
    <row r="68" spans="3:3">
      <c r="C68" s="147"/>
    </row>
    <row r="69" spans="3:3">
      <c r="C69" s="147"/>
    </row>
    <row r="70" spans="3:3">
      <c r="C70" s="147"/>
    </row>
    <row r="71" spans="3:3">
      <c r="C71" s="147"/>
    </row>
    <row r="72" spans="3:3">
      <c r="C72" s="147"/>
    </row>
    <row r="73" spans="3:3">
      <c r="C73" s="147"/>
    </row>
    <row r="74" spans="3:3">
      <c r="C74" s="147"/>
    </row>
    <row r="75" spans="3:3">
      <c r="C75" s="147"/>
    </row>
    <row r="76" spans="3:3">
      <c r="C76" s="147"/>
    </row>
  </sheetData>
  <mergeCells count="77">
    <mergeCell ref="C41:I41"/>
    <mergeCell ref="E49:I49"/>
    <mergeCell ref="C49:D49"/>
    <mergeCell ref="E43:I43"/>
    <mergeCell ref="C43:D43"/>
    <mergeCell ref="C48:D48"/>
    <mergeCell ref="E48:I48"/>
    <mergeCell ref="C46:D46"/>
    <mergeCell ref="C44:D44"/>
    <mergeCell ref="E44:I44"/>
    <mergeCell ref="C45:D45"/>
    <mergeCell ref="E45:I45"/>
    <mergeCell ref="C47:D47"/>
    <mergeCell ref="E47:I47"/>
    <mergeCell ref="B16:I16"/>
    <mergeCell ref="C18:D18"/>
    <mergeCell ref="C23:D23"/>
    <mergeCell ref="E23:I23"/>
    <mergeCell ref="C24:D24"/>
    <mergeCell ref="E24:I24"/>
    <mergeCell ref="B22:I22"/>
    <mergeCell ref="C12:I12"/>
    <mergeCell ref="C13:F13"/>
    <mergeCell ref="H13:I13"/>
    <mergeCell ref="C14:I14"/>
    <mergeCell ref="C15:I15"/>
    <mergeCell ref="C8:G8"/>
    <mergeCell ref="C9:G9"/>
    <mergeCell ref="C10:D10"/>
    <mergeCell ref="C11:D11"/>
    <mergeCell ref="F11:G11"/>
    <mergeCell ref="C53:I53"/>
    <mergeCell ref="C50:D50"/>
    <mergeCell ref="E50:I50"/>
    <mergeCell ref="C51:I51"/>
    <mergeCell ref="C21:D21"/>
    <mergeCell ref="E21:I21"/>
    <mergeCell ref="C25:D25"/>
    <mergeCell ref="E25:I25"/>
    <mergeCell ref="C26:D26"/>
    <mergeCell ref="E26:I26"/>
    <mergeCell ref="C28:D28"/>
    <mergeCell ref="B27:I27"/>
    <mergeCell ref="B35:I35"/>
    <mergeCell ref="B42:I42"/>
    <mergeCell ref="B52:I52"/>
    <mergeCell ref="E46:I46"/>
    <mergeCell ref="C29:D29"/>
    <mergeCell ref="C30:D30"/>
    <mergeCell ref="C32:D32"/>
    <mergeCell ref="E32:I32"/>
    <mergeCell ref="C33:D33"/>
    <mergeCell ref="E33:I33"/>
    <mergeCell ref="C40:G40"/>
    <mergeCell ref="C39:G39"/>
    <mergeCell ref="C38:G38"/>
    <mergeCell ref="C31:D31"/>
    <mergeCell ref="E31:I31"/>
    <mergeCell ref="C36:D36"/>
    <mergeCell ref="E36:I36"/>
    <mergeCell ref="C37:G37"/>
    <mergeCell ref="B3:I5"/>
    <mergeCell ref="M21:X21"/>
    <mergeCell ref="M27:X27"/>
    <mergeCell ref="M35:X35"/>
    <mergeCell ref="M38:X38"/>
    <mergeCell ref="M34:X34"/>
    <mergeCell ref="M22:X22"/>
    <mergeCell ref="M23:X23"/>
    <mergeCell ref="M24:X24"/>
    <mergeCell ref="M25:X25"/>
    <mergeCell ref="M26:X26"/>
    <mergeCell ref="M37:X37"/>
    <mergeCell ref="M36:X36"/>
    <mergeCell ref="C34:I34"/>
    <mergeCell ref="E28:I30"/>
    <mergeCell ref="H37:I40"/>
  </mergeCells>
  <conditionalFormatting sqref="B21:I21 B22 B27 B35 B42 B52">
    <cfRule type="expression" dxfId="45" priority="3">
      <formula>$C$18="Yes"</formula>
    </cfRule>
  </conditionalFormatting>
  <conditionalFormatting sqref="C18 C14:C15 I10:I11 C23:D26 C34 C51 C53 C36:D36 C37:C41 C28:D33 C43:D50">
    <cfRule type="expression" dxfId="44" priority="2">
      <formula>$C$18="Yes"</formula>
    </cfRule>
  </conditionalFormatting>
  <conditionalFormatting sqref="L15:X39">
    <cfRule type="expression" dxfId="43" priority="1">
      <formula>$C$18="No"</formula>
    </cfRule>
  </conditionalFormatting>
  <conditionalFormatting sqref="C46:D49">
    <cfRule type="expression" dxfId="42" priority="178">
      <formula>OR($C$43=$L$24,$C$43=$L$27)</formula>
    </cfRule>
  </conditionalFormatting>
  <conditionalFormatting sqref="C50:D50">
    <cfRule type="expression" dxfId="41" priority="179">
      <formula>$C$43=$L$22</formula>
    </cfRule>
  </conditionalFormatting>
  <dataValidations count="4">
    <dataValidation type="list" allowBlank="1" showInputMessage="1" showErrorMessage="1" sqref="C18:D18 C31:D33 C36:D36" xr:uid="{E0E1B39A-1920-4A74-9969-1ED3C56EBC81}">
      <formula1>"Yes,No"</formula1>
    </dataValidation>
    <dataValidation type="list" allowBlank="1" showInputMessage="1" showErrorMessage="1" sqref="C43:D43" xr:uid="{957E34A4-8F15-471A-A060-7F7738BCE2C1}">
      <formula1>$L$22:$L$27</formula1>
    </dataValidation>
    <dataValidation type="list" allowBlank="1" showInputMessage="1" showErrorMessage="1" sqref="C46:D46 C48:D48" xr:uid="{55E66CB8-F054-4F6C-ACFF-6E7E89C008E7}">
      <formula1>$L$35:$L$38</formula1>
    </dataValidation>
    <dataValidation type="list" allowBlank="1" showInputMessage="1" showErrorMessage="1" sqref="C46:D46" xr:uid="{61E533AA-1EF6-4457-91E0-A30F6FF2226D}">
      <formula1>"Yes,No,Unknown"</formula1>
    </dataValidation>
  </dataValidations>
  <pageMargins left="0.7" right="0.7" top="0.75" bottom="0.75" header="0.3" footer="0.3"/>
  <pageSetup scale="40" orientation="portrait" r:id="rId1"/>
  <rowBreaks count="1" manualBreakCount="1">
    <brk id="51" max="24" man="1"/>
  </rowBreaks>
  <colBreaks count="1" manualBreakCount="1">
    <brk id="10" min="5" max="70" man="1"/>
  </colBreaks>
  <extLst>
    <ext xmlns:x14="http://schemas.microsoft.com/office/spreadsheetml/2009/9/main" uri="{CCE6A557-97BC-4b89-ADB6-D9C93CAAB3DF}">
      <x14:dataValidations xmlns:xm="http://schemas.microsoft.com/office/excel/2006/main" count="2">
        <x14:dataValidation type="list" allowBlank="1" showInputMessage="1" showErrorMessage="1" xr:uid="{6C9A18A2-97D3-4751-B12D-B3C341A1E709}">
          <x14:formula1>
            <xm:f>Tables!$B$31:$B$37</xm:f>
          </x14:formula1>
          <xm:sqref>I10</xm:sqref>
        </x14:dataValidation>
        <x14:dataValidation type="list" allowBlank="1" showInputMessage="1" showErrorMessage="1" xr:uid="{A327D4C1-77F9-4461-A5FD-3516684B895A}">
          <x14:formula1>
            <xm:f>Tables!$B$24:$B$28</xm:f>
          </x14:formula1>
          <xm:sqref>I11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B05DC-52E4-41DB-B672-F0B1058774F8}">
  <sheetPr codeName="Sheet19">
    <tabColor theme="4" tint="0.39997558519241921"/>
  </sheetPr>
  <dimension ref="A1:AW159"/>
  <sheetViews>
    <sheetView zoomScale="85" zoomScaleNormal="85" workbookViewId="0">
      <selection activeCell="B7" sqref="B7:N14"/>
    </sheetView>
  </sheetViews>
  <sheetFormatPr defaultColWidth="8.7109375" defaultRowHeight="14.45"/>
  <cols>
    <col min="1" max="1" width="3.85546875" style="147" customWidth="1"/>
    <col min="2" max="2" width="13.5703125" bestFit="1" customWidth="1"/>
    <col min="3" max="3" width="32.28515625" customWidth="1"/>
    <col min="4" max="4" width="23.140625" customWidth="1"/>
    <col min="5" max="5" width="15.7109375" customWidth="1"/>
    <col min="6" max="6" width="14.42578125" customWidth="1"/>
    <col min="7" max="7" width="16.28515625" customWidth="1"/>
    <col min="8" max="8" width="14.42578125" customWidth="1"/>
    <col min="9" max="9" width="16.42578125" customWidth="1"/>
    <col min="10" max="11" width="14.42578125" customWidth="1"/>
    <col min="12" max="12" width="16.5703125" customWidth="1"/>
    <col min="13" max="13" width="16.85546875" customWidth="1"/>
    <col min="14" max="14" width="14.140625" customWidth="1"/>
    <col min="15" max="15" width="9.85546875" style="147" customWidth="1"/>
    <col min="16" max="16" width="25.28515625" style="147" customWidth="1"/>
    <col min="17" max="18" width="12.85546875" style="147" customWidth="1"/>
    <col min="19" max="19" width="12.28515625" style="147" customWidth="1"/>
    <col min="20" max="27" width="8.7109375" style="147" customWidth="1"/>
    <col min="28" max="28" width="61.42578125" style="147" customWidth="1"/>
    <col min="29" max="29" width="22.85546875" style="147" customWidth="1"/>
    <col min="30" max="49" width="8.7109375" style="147"/>
  </cols>
  <sheetData>
    <row r="1" spans="2:16">
      <c r="B1" s="147"/>
      <c r="C1" s="147"/>
      <c r="D1" s="147"/>
      <c r="E1" s="147"/>
      <c r="F1" s="147"/>
      <c r="G1" s="147"/>
      <c r="H1" s="147"/>
      <c r="I1" s="147"/>
      <c r="J1" s="147"/>
      <c r="K1" s="147"/>
      <c r="L1" s="147"/>
      <c r="M1" s="147"/>
      <c r="N1" s="147"/>
    </row>
    <row r="2" spans="2:16" ht="18.600000000000001">
      <c r="B2" s="1375" t="s">
        <v>414</v>
      </c>
      <c r="C2" s="1376"/>
      <c r="D2" s="1376"/>
      <c r="E2" s="1376"/>
      <c r="F2" s="1376"/>
      <c r="G2" s="1376"/>
      <c r="H2" s="1376"/>
      <c r="I2" s="1376"/>
      <c r="J2" s="1376"/>
      <c r="K2" s="1376"/>
      <c r="L2" s="1376"/>
      <c r="M2" s="1376"/>
      <c r="N2" s="1664"/>
      <c r="P2" s="1066" t="s">
        <v>217</v>
      </c>
    </row>
    <row r="3" spans="2:16" ht="14.45" customHeight="1">
      <c r="B3" s="1573" t="s">
        <v>481</v>
      </c>
      <c r="C3" s="1574"/>
      <c r="D3" s="1574"/>
      <c r="E3" s="1574"/>
      <c r="F3" s="1574"/>
      <c r="G3" s="1574"/>
      <c r="H3" s="1574"/>
      <c r="I3" s="1574"/>
      <c r="J3" s="1574"/>
      <c r="K3" s="1574"/>
      <c r="L3" s="1574"/>
      <c r="M3" s="1574"/>
      <c r="N3" s="1667"/>
      <c r="P3" s="1067" t="s">
        <v>226</v>
      </c>
    </row>
    <row r="4" spans="2:16">
      <c r="B4" s="1576"/>
      <c r="C4" s="1577"/>
      <c r="D4" s="1577"/>
      <c r="E4" s="1577"/>
      <c r="F4" s="1577"/>
      <c r="G4" s="1577"/>
      <c r="H4" s="1577"/>
      <c r="I4" s="1577"/>
      <c r="J4" s="1577"/>
      <c r="K4" s="1577"/>
      <c r="L4" s="1577"/>
      <c r="M4" s="1577"/>
      <c r="N4" s="1668"/>
      <c r="P4" s="1068" t="s">
        <v>231</v>
      </c>
    </row>
    <row r="5" spans="2:16">
      <c r="B5" s="1579"/>
      <c r="C5" s="1580"/>
      <c r="D5" s="1580"/>
      <c r="E5" s="1580"/>
      <c r="F5" s="1580"/>
      <c r="G5" s="1580"/>
      <c r="H5" s="1580"/>
      <c r="I5" s="1580"/>
      <c r="J5" s="1580"/>
      <c r="K5" s="1580"/>
      <c r="L5" s="1580"/>
      <c r="M5" s="1580"/>
      <c r="N5" s="1669"/>
      <c r="P5" s="1069" t="s">
        <v>233</v>
      </c>
    </row>
    <row r="6" spans="2:16">
      <c r="B6" s="281"/>
      <c r="C6" s="281"/>
      <c r="D6" s="281"/>
      <c r="E6" s="281"/>
      <c r="F6" s="281"/>
      <c r="G6" s="281"/>
      <c r="H6" s="281"/>
      <c r="I6" s="281"/>
      <c r="J6" s="281"/>
      <c r="K6" s="281"/>
      <c r="L6" s="281"/>
      <c r="M6" s="281"/>
      <c r="N6" s="281"/>
      <c r="P6" s="1070"/>
    </row>
    <row r="7" spans="2:16">
      <c r="B7" s="1673" t="s">
        <v>482</v>
      </c>
      <c r="C7" s="1674"/>
      <c r="D7" s="1674"/>
      <c r="E7" s="1674"/>
      <c r="F7" s="1674"/>
      <c r="G7" s="1674"/>
      <c r="H7" s="1674"/>
      <c r="I7" s="1674"/>
      <c r="J7" s="1674"/>
      <c r="K7" s="1674"/>
      <c r="L7" s="1674"/>
      <c r="M7" s="1674"/>
      <c r="N7" s="1675"/>
      <c r="P7" s="1070"/>
    </row>
    <row r="8" spans="2:16" ht="20.45" customHeight="1">
      <c r="B8" s="1676" t="s">
        <v>483</v>
      </c>
      <c r="C8" s="1665"/>
      <c r="D8" s="1665"/>
      <c r="E8" s="1665"/>
      <c r="F8" s="1665"/>
      <c r="G8" s="1665"/>
      <c r="H8" s="1665"/>
      <c r="I8" s="1665"/>
      <c r="J8" s="1665"/>
      <c r="K8" s="1665"/>
      <c r="L8" s="1665"/>
      <c r="M8" s="1665"/>
      <c r="N8" s="1666"/>
    </row>
    <row r="9" spans="2:16" ht="57.95">
      <c r="B9" s="1071" t="s">
        <v>484</v>
      </c>
      <c r="C9" s="1072" t="s">
        <v>315</v>
      </c>
      <c r="D9" s="1072" t="s">
        <v>485</v>
      </c>
      <c r="E9" s="1073" t="s">
        <v>342</v>
      </c>
      <c r="F9" s="1073" t="s">
        <v>345</v>
      </c>
      <c r="G9" s="1073" t="s">
        <v>160</v>
      </c>
      <c r="H9" s="1073" t="s">
        <v>175</v>
      </c>
      <c r="I9" s="1073" t="s">
        <v>151</v>
      </c>
      <c r="J9" s="1073" t="s">
        <v>349</v>
      </c>
      <c r="K9" s="1073" t="s">
        <v>177</v>
      </c>
      <c r="L9" s="1073" t="s">
        <v>352</v>
      </c>
      <c r="M9" s="1074" t="s">
        <v>162</v>
      </c>
      <c r="N9" s="1075" t="s">
        <v>486</v>
      </c>
      <c r="P9" s="1070"/>
    </row>
    <row r="10" spans="2:16">
      <c r="B10" s="1076" t="s">
        <v>306</v>
      </c>
      <c r="C10" s="1077" t="str">
        <f>HLOOKUP($B10,'User Inputs and Savings'!$B$48:$G$50,3,FALSE)</f>
        <v>[description 1]</v>
      </c>
      <c r="D10" s="1077">
        <f>HLOOKUP($B10,'User Inputs and Savings'!$B$48:$G$50,2,FALSE)</f>
        <v>0</v>
      </c>
      <c r="E10" s="1078">
        <f>IF($D10&lt;&gt;0,1,0)*VLOOKUP(E$9,'User Inputs and Savings'!$B$60:$G$68,2,FALSE)*VLOOKUP(E$9,'Project Savings'!$C$35:$H$43,2,FALSE)</f>
        <v>0</v>
      </c>
      <c r="F10" s="1078">
        <f>IF($D10&lt;&gt;0,1,0)*VLOOKUP(F$9,'User Inputs and Savings'!$B$60:$G$68,2,FALSE)*VLOOKUP(F$9,'Project Savings'!$C$35:$H$43,2,FALSE)</f>
        <v>0</v>
      </c>
      <c r="G10" s="1078">
        <f>IF($D10&lt;&gt;0,1,0)*VLOOKUP(G$9,'User Inputs and Savings'!$B$60:$G$68,2,FALSE)*VLOOKUP(G$9,'Project Savings'!$C$35:$H$43,2,FALSE)</f>
        <v>0</v>
      </c>
      <c r="H10" s="1078">
        <f>IF($D10&lt;&gt;0,1,0)*VLOOKUP(H$9,'User Inputs and Savings'!$B$60:$G$68,2,FALSE)*VLOOKUP(H$9,'Project Savings'!$C$35:$H$43,2,FALSE)</f>
        <v>0</v>
      </c>
      <c r="I10" s="1078">
        <f>IF($D10&lt;&gt;0,1,0)*VLOOKUP(I$9,'User Inputs and Savings'!$B$60:$G$68,2,FALSE)*VLOOKUP(I$9,'Project Savings'!$C$35:$H$43,2,FALSE)</f>
        <v>0</v>
      </c>
      <c r="J10" s="1078">
        <f>IF($D10&lt;&gt;0,1,0)*VLOOKUP(J$9,'User Inputs and Savings'!$B$60:$G$68,2,FALSE)*VLOOKUP(J$9,'Project Savings'!$C$35:$H$43,2,FALSE)</f>
        <v>0</v>
      </c>
      <c r="K10" s="1078">
        <f>IF($D10&lt;&gt;0,1,0)*VLOOKUP(K$9,'User Inputs and Savings'!$B$60:$G$68,2,FALSE)*VLOOKUP(K$9,'Project Savings'!$C$35:$H$43,2,FALSE)</f>
        <v>0</v>
      </c>
      <c r="L10" s="1078">
        <f>IF($D10&lt;&gt;0,1,0)*VLOOKUP(L$9,'User Inputs and Savings'!$B$60:$G$68,2,FALSE)*VLOOKUP(L$9,'Project Savings'!$C$35:$H$43,2,FALSE)</f>
        <v>0</v>
      </c>
      <c r="M10" s="1079">
        <f>IF($D10&lt;&gt;0,1,0)*VLOOKUP(M$9,'User Inputs and Savings'!$B$60:$G$68,2,FALSE)*VLOOKUP(M$9,'Project Savings'!$C$35:$H$43,2,FALSE)</f>
        <v>0</v>
      </c>
      <c r="N10" s="1080">
        <f>SUM(E10:M10)</f>
        <v>0</v>
      </c>
      <c r="P10" s="1070"/>
    </row>
    <row r="11" spans="2:16">
      <c r="B11" s="1081" t="s">
        <v>307</v>
      </c>
      <c r="C11" s="1082" t="str">
        <f>HLOOKUP($B11,'User Inputs and Savings'!$B$48:$G$50,3,FALSE)</f>
        <v>[description 2]</v>
      </c>
      <c r="D11" s="1082">
        <f>HLOOKUP($B11,'User Inputs and Savings'!$B$48:$G$50,2,FALSE)</f>
        <v>0</v>
      </c>
      <c r="E11" s="1083">
        <f>IF($D11&lt;&gt;0,1,0)*VLOOKUP(E$9,'User Inputs and Savings'!$B$60:$G$68,3,FALSE)*VLOOKUP(E$9,'Project Savings'!$C$35:$H$43,3,FALSE)</f>
        <v>0</v>
      </c>
      <c r="F11" s="1083">
        <f>IF($D11&lt;&gt;0,1,0)*VLOOKUP(F$9,'User Inputs and Savings'!$B$60:$G$68,3,FALSE)*VLOOKUP(F$9,'Project Savings'!$C$35:$H$43,3,FALSE)</f>
        <v>0</v>
      </c>
      <c r="G11" s="1083">
        <f>IF($D11&lt;&gt;0,1,0)*VLOOKUP(G$9,'User Inputs and Savings'!$B$60:$G$68,3,FALSE)*VLOOKUP(G$9,'Project Savings'!$C$35:$H$43,3,FALSE)</f>
        <v>0</v>
      </c>
      <c r="H11" s="1083">
        <f>IF($D11&lt;&gt;0,1,0)*VLOOKUP(H$9,'User Inputs and Savings'!$B$60:$G$68,3,FALSE)*VLOOKUP(H$9,'Project Savings'!$C$35:$H$43,3,FALSE)</f>
        <v>0</v>
      </c>
      <c r="I11" s="1083">
        <f>IF($D11&lt;&gt;0,1,0)*VLOOKUP(I$9,'User Inputs and Savings'!$B$60:$G$68,3,FALSE)*VLOOKUP(I$9,'Project Savings'!$C$35:$H$43,3,FALSE)</f>
        <v>0</v>
      </c>
      <c r="J11" s="1083">
        <f>IF($D11&lt;&gt;0,1,0)*VLOOKUP(J$9,'User Inputs and Savings'!$B$60:$G$68,3,FALSE)*VLOOKUP(J$9,'Project Savings'!$C$35:$H$43,3,FALSE)</f>
        <v>0</v>
      </c>
      <c r="K11" s="1083">
        <f>IF($D11&lt;&gt;0,1,0)*VLOOKUP(K$9,'User Inputs and Savings'!$B$60:$G$68,3,FALSE)*VLOOKUP(K$9,'Project Savings'!$C$35:$H$43,3,FALSE)</f>
        <v>0</v>
      </c>
      <c r="L11" s="1083">
        <f>IF($D11&lt;&gt;0,1,0)*VLOOKUP(L$9,'User Inputs and Savings'!$B$60:$G$68,3,FALSE)*VLOOKUP(L$9,'Project Savings'!$C$35:$H$43,3,FALSE)</f>
        <v>0</v>
      </c>
      <c r="M11" s="1084">
        <f>IF($D11&lt;&gt;0,1,0)*VLOOKUP(M$9,'User Inputs and Savings'!$B$60:$G$68,3,FALSE)*VLOOKUP(M$9,'Project Savings'!$C$35:$H$43,3,FALSE)</f>
        <v>0</v>
      </c>
      <c r="N11" s="1085">
        <f t="shared" ref="N11:N14" si="0">SUM(E11:M11)</f>
        <v>0</v>
      </c>
      <c r="P11" s="1070"/>
    </row>
    <row r="12" spans="2:16">
      <c r="B12" s="1081" t="s">
        <v>308</v>
      </c>
      <c r="C12" s="1082" t="str">
        <f>HLOOKUP($B12,'User Inputs and Savings'!$B$48:$G$50,3,FALSE)</f>
        <v>[description 3]</v>
      </c>
      <c r="D12" s="1082">
        <f>HLOOKUP($B12,'User Inputs and Savings'!$B$48:$G$50,2,FALSE)</f>
        <v>0</v>
      </c>
      <c r="E12" s="1083">
        <f>IF($D12&lt;&gt;0,1,0)*VLOOKUP(E$9,'User Inputs and Savings'!$B$60:$G$68,4,FALSE)*VLOOKUP(E$9,'Project Savings'!$C$35:$H$43,4,FALSE)</f>
        <v>0</v>
      </c>
      <c r="F12" s="1083">
        <f>IF($D12&lt;&gt;0,1,0)*VLOOKUP(F$9,'User Inputs and Savings'!$B$60:$G$68,4,FALSE)*VLOOKUP(F$9,'Project Savings'!$C$35:$H$43,4,FALSE)</f>
        <v>0</v>
      </c>
      <c r="G12" s="1083">
        <f>IF($D12&lt;&gt;0,1,0)*VLOOKUP(G$9,'User Inputs and Savings'!$B$60:$G$68,4,FALSE)*VLOOKUP(G$9,'Project Savings'!$C$35:$H$43,4,FALSE)</f>
        <v>0</v>
      </c>
      <c r="H12" s="1083">
        <f>IF($D12&lt;&gt;0,1,0)*VLOOKUP(H$9,'User Inputs and Savings'!$B$60:$G$68,4,FALSE)*VLOOKUP(H$9,'Project Savings'!$C$35:$H$43,4,FALSE)</f>
        <v>0</v>
      </c>
      <c r="I12" s="1083">
        <f>IF($D12&lt;&gt;0,1,0)*VLOOKUP(I$9,'User Inputs and Savings'!$B$60:$G$68,4,FALSE)*VLOOKUP(I$9,'Project Savings'!$C$35:$H$43,4,FALSE)</f>
        <v>0</v>
      </c>
      <c r="J12" s="1083">
        <f>IF($D12&lt;&gt;0,1,0)*VLOOKUP(J$9,'User Inputs and Savings'!$B$60:$G$68,4,FALSE)*VLOOKUP(J$9,'Project Savings'!$C$35:$H$43,4,FALSE)</f>
        <v>0</v>
      </c>
      <c r="K12" s="1083">
        <f>IF($D12&lt;&gt;0,1,0)*VLOOKUP(K$9,'User Inputs and Savings'!$B$60:$G$68,4,FALSE)*VLOOKUP(K$9,'Project Savings'!$C$35:$H$43,4,FALSE)</f>
        <v>0</v>
      </c>
      <c r="L12" s="1083">
        <f>IF($D12&lt;&gt;0,1,0)*VLOOKUP(L$9,'User Inputs and Savings'!$B$60:$G$68,4,FALSE)*VLOOKUP(L$9,'Project Savings'!$C$35:$H$43,4,FALSE)</f>
        <v>0</v>
      </c>
      <c r="M12" s="1084">
        <f>IF($D12&lt;&gt;0,1,0)*VLOOKUP(M$9,'User Inputs and Savings'!$B$60:$G$68,4,FALSE)*VLOOKUP(M$9,'Project Savings'!$C$35:$H$43,4,FALSE)</f>
        <v>0</v>
      </c>
      <c r="N12" s="1085">
        <f t="shared" si="0"/>
        <v>0</v>
      </c>
      <c r="P12" s="1070"/>
    </row>
    <row r="13" spans="2:16">
      <c r="B13" s="1081" t="s">
        <v>309</v>
      </c>
      <c r="C13" s="1082" t="str">
        <f>HLOOKUP($B13,'User Inputs and Savings'!$B$48:$G$50,3,FALSE)</f>
        <v>[description 4]</v>
      </c>
      <c r="D13" s="1082">
        <f>HLOOKUP($B13,'User Inputs and Savings'!$B$48:$G$50,2,FALSE)</f>
        <v>0</v>
      </c>
      <c r="E13" s="1083">
        <f>IF($D13&lt;&gt;0,1,0)*VLOOKUP(E$9,'User Inputs and Savings'!$B$60:$G$68,5,FALSE)*VLOOKUP(E$9,'Project Savings'!$C$35:$H$43,5,FALSE)</f>
        <v>0</v>
      </c>
      <c r="F13" s="1083">
        <f>IF($D13&lt;&gt;0,1,0)*VLOOKUP(F$9,'User Inputs and Savings'!$B$60:$G$68,5,FALSE)*VLOOKUP(F$9,'Project Savings'!$C$35:$H$43,5,FALSE)</f>
        <v>0</v>
      </c>
      <c r="G13" s="1083">
        <f>IF($D13&lt;&gt;0,1,0)*VLOOKUP(G$9,'User Inputs and Savings'!$B$60:$G$68,5,FALSE)*VLOOKUP(G$9,'Project Savings'!$C$35:$H$43,5,FALSE)</f>
        <v>0</v>
      </c>
      <c r="H13" s="1083">
        <f>IF($D13&lt;&gt;0,1,0)*VLOOKUP(H$9,'User Inputs and Savings'!$B$60:$G$68,5,FALSE)*VLOOKUP(H$9,'Project Savings'!$C$35:$H$43,5,FALSE)</f>
        <v>0</v>
      </c>
      <c r="I13" s="1083">
        <f>IF($D13&lt;&gt;0,1,0)*VLOOKUP(I$9,'User Inputs and Savings'!$B$60:$G$68,5,FALSE)*VLOOKUP(I$9,'Project Savings'!$C$35:$H$43,5,FALSE)</f>
        <v>0</v>
      </c>
      <c r="J13" s="1083">
        <f>IF($D13&lt;&gt;0,1,0)*VLOOKUP(J$9,'User Inputs and Savings'!$B$60:$G$68,5,FALSE)*VLOOKUP(J$9,'Project Savings'!$C$35:$H$43,5,FALSE)</f>
        <v>0</v>
      </c>
      <c r="K13" s="1083">
        <f>IF($D13&lt;&gt;0,1,0)*VLOOKUP(K$9,'User Inputs and Savings'!$B$60:$G$68,5,FALSE)*VLOOKUP(K$9,'Project Savings'!$C$35:$H$43,5,FALSE)</f>
        <v>0</v>
      </c>
      <c r="L13" s="1083">
        <f>IF($D13&lt;&gt;0,1,0)*VLOOKUP(L$9,'User Inputs and Savings'!$B$60:$G$68,5,FALSE)*VLOOKUP(L$9,'Project Savings'!$C$35:$H$43,5,FALSE)</f>
        <v>0</v>
      </c>
      <c r="M13" s="1084">
        <f>IF($D13&lt;&gt;0,1,0)*VLOOKUP(M$9,'User Inputs and Savings'!$B$60:$G$68,5,FALSE)*VLOOKUP(M$9,'Project Savings'!$C$35:$H$43,5,FALSE)</f>
        <v>0</v>
      </c>
      <c r="N13" s="1085">
        <f t="shared" si="0"/>
        <v>0</v>
      </c>
      <c r="P13" s="1070"/>
    </row>
    <row r="14" spans="2:16">
      <c r="B14" s="1086" t="s">
        <v>310</v>
      </c>
      <c r="C14" s="1087" t="str">
        <f>HLOOKUP($B14,'User Inputs and Savings'!$B$48:$G$50,3,FALSE)</f>
        <v>[description 5]</v>
      </c>
      <c r="D14" s="1087">
        <f>HLOOKUP($B14,'User Inputs and Savings'!$B$48:$G$50,2,FALSE)</f>
        <v>0</v>
      </c>
      <c r="E14" s="1088">
        <f>IF($D14&lt;&gt;0,1,0)*VLOOKUP(E$9,'User Inputs and Savings'!$B$60:$G$68,6,FALSE)*VLOOKUP(E$9,'Project Savings'!$C$35:$H$43,6,FALSE)</f>
        <v>0</v>
      </c>
      <c r="F14" s="1088">
        <f>IF($D14&lt;&gt;0,1,0)*VLOOKUP(F$9,'User Inputs and Savings'!$B$60:$G$68,6,FALSE)*VLOOKUP(F$9,'Project Savings'!$C$35:$H$43,6,FALSE)</f>
        <v>0</v>
      </c>
      <c r="G14" s="1088">
        <f>IF($D14&lt;&gt;0,1,0)*VLOOKUP(G$9,'User Inputs and Savings'!$B$60:$G$68,6,FALSE)*VLOOKUP(G$9,'Project Savings'!$C$35:$H$43,6,FALSE)</f>
        <v>0</v>
      </c>
      <c r="H14" s="1088">
        <f>IF($D14&lt;&gt;0,1,0)*VLOOKUP(H$9,'User Inputs and Savings'!$B$60:$G$68,6,FALSE)*VLOOKUP(H$9,'Project Savings'!$C$35:$H$43,6,FALSE)</f>
        <v>0</v>
      </c>
      <c r="I14" s="1088">
        <f>IF($D14&lt;&gt;0,1,0)*VLOOKUP(I$9,'User Inputs and Savings'!$B$60:$G$68,6,FALSE)*VLOOKUP(I$9,'Project Savings'!$C$35:$H$43,6,FALSE)</f>
        <v>0</v>
      </c>
      <c r="J14" s="1088">
        <f>IF($D14&lt;&gt;0,1,0)*VLOOKUP(J$9,'User Inputs and Savings'!$B$60:$G$68,6,FALSE)*VLOOKUP(J$9,'Project Savings'!$C$35:$H$43,6,FALSE)</f>
        <v>0</v>
      </c>
      <c r="K14" s="1088">
        <f>IF($D14&lt;&gt;0,1,0)*VLOOKUP(K$9,'User Inputs and Savings'!$B$60:$G$68,6,FALSE)*VLOOKUP(K$9,'Project Savings'!$C$35:$H$43,6,FALSE)</f>
        <v>0</v>
      </c>
      <c r="L14" s="1088">
        <f>IF($D14&lt;&gt;0,1,0)*VLOOKUP(L$9,'User Inputs and Savings'!$B$60:$G$68,6,FALSE)*VLOOKUP(L$9,'Project Savings'!$C$35:$H$43,6,FALSE)</f>
        <v>0</v>
      </c>
      <c r="M14" s="1089">
        <f>IF($D14&lt;&gt;0,1,0)*VLOOKUP(M$9,'User Inputs and Savings'!$B$60:$G$68,6,FALSE)*VLOOKUP(M$9,'Project Savings'!$C$35:$H$43,6,FALSE)</f>
        <v>0</v>
      </c>
      <c r="N14" s="1090">
        <f t="shared" si="0"/>
        <v>0</v>
      </c>
      <c r="P14" s="1070"/>
    </row>
    <row r="15" spans="2:16">
      <c r="B15" s="147"/>
      <c r="C15" s="147"/>
      <c r="D15" s="147"/>
      <c r="E15" s="147"/>
      <c r="F15" s="147"/>
      <c r="G15" s="147"/>
      <c r="H15" s="147"/>
      <c r="I15" s="147"/>
      <c r="J15" s="147"/>
      <c r="K15" s="147"/>
      <c r="L15" s="147"/>
      <c r="M15" s="147"/>
      <c r="N15" s="147"/>
    </row>
    <row r="16" spans="2:16">
      <c r="B16" s="1091" t="s">
        <v>487</v>
      </c>
      <c r="C16" s="1092"/>
      <c r="D16" s="1092"/>
      <c r="E16" s="1092"/>
      <c r="F16" s="1092"/>
      <c r="G16" s="1092"/>
      <c r="H16" s="1092"/>
      <c r="I16" s="1092"/>
      <c r="J16" s="1092"/>
      <c r="K16" s="1092"/>
      <c r="L16" s="1092"/>
      <c r="M16" s="1092"/>
      <c r="N16" s="1093"/>
    </row>
    <row r="17" spans="2:15" ht="18.600000000000001" hidden="1" customHeight="1">
      <c r="B17" s="1670" t="s">
        <v>488</v>
      </c>
      <c r="C17" s="1671"/>
      <c r="D17" s="1094"/>
      <c r="E17" s="1095" t="s">
        <v>489</v>
      </c>
      <c r="F17" s="1671" t="s">
        <v>490</v>
      </c>
      <c r="G17" s="1671"/>
      <c r="H17" s="1671"/>
      <c r="I17" s="1671"/>
      <c r="J17" s="1671"/>
      <c r="K17" s="1671"/>
      <c r="L17" s="1671"/>
      <c r="M17" s="1671"/>
      <c r="N17" s="1672"/>
    </row>
    <row r="18" spans="2:15" ht="30.95" customHeight="1">
      <c r="B18" s="1428" t="s">
        <v>491</v>
      </c>
      <c r="C18" s="1665"/>
      <c r="D18" s="1665"/>
      <c r="E18" s="1665"/>
      <c r="F18" s="1665"/>
      <c r="G18" s="1665"/>
      <c r="H18" s="1665"/>
      <c r="I18" s="1665"/>
      <c r="J18" s="1665"/>
      <c r="K18" s="1665"/>
      <c r="L18" s="1665"/>
      <c r="M18" s="1665"/>
      <c r="N18" s="1666"/>
    </row>
    <row r="19" spans="2:15" ht="57.95" customHeight="1">
      <c r="B19" s="1096" t="s">
        <v>492</v>
      </c>
      <c r="C19" s="1097" t="s">
        <v>493</v>
      </c>
      <c r="D19" s="1097" t="s">
        <v>494</v>
      </c>
      <c r="E19" s="1098" t="s">
        <v>342</v>
      </c>
      <c r="F19" s="1098" t="s">
        <v>345</v>
      </c>
      <c r="G19" s="1098" t="s">
        <v>160</v>
      </c>
      <c r="H19" s="1098" t="s">
        <v>175</v>
      </c>
      <c r="I19" s="1098" t="s">
        <v>151</v>
      </c>
      <c r="J19" s="1098" t="s">
        <v>349</v>
      </c>
      <c r="K19" s="1098" t="s">
        <v>177</v>
      </c>
      <c r="L19" s="1098" t="s">
        <v>352</v>
      </c>
      <c r="M19" s="1098" t="s">
        <v>162</v>
      </c>
      <c r="N19" s="1099" t="s">
        <v>495</v>
      </c>
    </row>
    <row r="20" spans="2:15">
      <c r="B20" s="1100" t="s">
        <v>496</v>
      </c>
      <c r="C20" s="1101" t="s">
        <v>497</v>
      </c>
      <c r="D20" s="1102" t="s">
        <v>498</v>
      </c>
      <c r="E20" s="1103">
        <v>1</v>
      </c>
      <c r="F20" s="1104">
        <v>0</v>
      </c>
      <c r="G20" s="1104">
        <v>0</v>
      </c>
      <c r="H20" s="1104">
        <v>0</v>
      </c>
      <c r="I20" s="1104">
        <v>0</v>
      </c>
      <c r="J20" s="1104">
        <v>0</v>
      </c>
      <c r="K20" s="1104">
        <v>0</v>
      </c>
      <c r="L20" s="1104">
        <v>0</v>
      </c>
      <c r="M20" s="1105">
        <v>1</v>
      </c>
      <c r="N20" s="1106">
        <f>SUM(E20:M20)</f>
        <v>2</v>
      </c>
    </row>
    <row r="21" spans="2:15">
      <c r="B21" s="1107">
        <v>1</v>
      </c>
      <c r="C21" s="410"/>
      <c r="D21" s="912"/>
      <c r="E21" s="384">
        <v>0</v>
      </c>
      <c r="F21" s="383">
        <v>0</v>
      </c>
      <c r="G21" s="383">
        <v>0</v>
      </c>
      <c r="H21" s="383">
        <v>0</v>
      </c>
      <c r="I21" s="383">
        <v>0</v>
      </c>
      <c r="J21" s="383">
        <v>0</v>
      </c>
      <c r="K21" s="383">
        <v>0</v>
      </c>
      <c r="L21" s="383">
        <v>0</v>
      </c>
      <c r="M21" s="383">
        <v>0</v>
      </c>
      <c r="N21" s="1108">
        <f>SUMPRODUCT(E21:M21,$E$41:$M$41)</f>
        <v>0</v>
      </c>
      <c r="O21" s="167"/>
    </row>
    <row r="22" spans="2:15">
      <c r="B22" s="1109">
        <v>2</v>
      </c>
      <c r="C22" s="411"/>
      <c r="D22" s="913"/>
      <c r="E22" s="404">
        <v>0</v>
      </c>
      <c r="F22" s="405">
        <v>0</v>
      </c>
      <c r="G22" s="405">
        <v>0</v>
      </c>
      <c r="H22" s="405">
        <v>0</v>
      </c>
      <c r="I22" s="405">
        <v>0</v>
      </c>
      <c r="J22" s="405">
        <v>0</v>
      </c>
      <c r="K22" s="405">
        <v>0</v>
      </c>
      <c r="L22" s="405">
        <v>0</v>
      </c>
      <c r="M22" s="405">
        <v>0</v>
      </c>
      <c r="N22" s="1108">
        <f t="shared" ref="N22:N35" si="1">IF(C22&lt;&gt;"",SUMPRODUCT(E22:M22,$E$41:$M$41),0)</f>
        <v>0</v>
      </c>
    </row>
    <row r="23" spans="2:15">
      <c r="B23" s="1109">
        <v>3</v>
      </c>
      <c r="C23" s="411"/>
      <c r="D23" s="913"/>
      <c r="E23" s="404">
        <v>0</v>
      </c>
      <c r="F23" s="405">
        <v>0</v>
      </c>
      <c r="G23" s="405">
        <v>0</v>
      </c>
      <c r="H23" s="405">
        <v>0</v>
      </c>
      <c r="I23" s="405">
        <v>0</v>
      </c>
      <c r="J23" s="405">
        <v>0</v>
      </c>
      <c r="K23" s="405">
        <v>0</v>
      </c>
      <c r="L23" s="405">
        <v>0</v>
      </c>
      <c r="M23" s="405">
        <v>0</v>
      </c>
      <c r="N23" s="1108">
        <f t="shared" si="1"/>
        <v>0</v>
      </c>
    </row>
    <row r="24" spans="2:15">
      <c r="B24" s="1109">
        <v>4</v>
      </c>
      <c r="C24" s="411"/>
      <c r="D24" s="913"/>
      <c r="E24" s="404">
        <v>0</v>
      </c>
      <c r="F24" s="405">
        <v>0</v>
      </c>
      <c r="G24" s="405">
        <v>0</v>
      </c>
      <c r="H24" s="405">
        <v>0</v>
      </c>
      <c r="I24" s="405">
        <v>0</v>
      </c>
      <c r="J24" s="405">
        <v>0</v>
      </c>
      <c r="K24" s="405">
        <v>0</v>
      </c>
      <c r="L24" s="405">
        <v>0</v>
      </c>
      <c r="M24" s="405">
        <v>0</v>
      </c>
      <c r="N24" s="1108">
        <f t="shared" si="1"/>
        <v>0</v>
      </c>
    </row>
    <row r="25" spans="2:15">
      <c r="B25" s="1109">
        <v>5</v>
      </c>
      <c r="C25" s="411"/>
      <c r="D25" s="913"/>
      <c r="E25" s="404">
        <v>0</v>
      </c>
      <c r="F25" s="405">
        <v>0</v>
      </c>
      <c r="G25" s="405">
        <v>0</v>
      </c>
      <c r="H25" s="405">
        <v>0</v>
      </c>
      <c r="I25" s="405">
        <v>0</v>
      </c>
      <c r="J25" s="405">
        <v>0</v>
      </c>
      <c r="K25" s="405">
        <v>0</v>
      </c>
      <c r="L25" s="405">
        <v>0</v>
      </c>
      <c r="M25" s="405">
        <v>0</v>
      </c>
      <c r="N25" s="1108">
        <f t="shared" si="1"/>
        <v>0</v>
      </c>
    </row>
    <row r="26" spans="2:15">
      <c r="B26" s="1109">
        <v>6</v>
      </c>
      <c r="C26" s="411"/>
      <c r="D26" s="913"/>
      <c r="E26" s="404">
        <v>0</v>
      </c>
      <c r="F26" s="405">
        <v>0</v>
      </c>
      <c r="G26" s="405">
        <v>0</v>
      </c>
      <c r="H26" s="405">
        <v>0</v>
      </c>
      <c r="I26" s="405">
        <v>0</v>
      </c>
      <c r="J26" s="405">
        <v>0</v>
      </c>
      <c r="K26" s="405">
        <v>0</v>
      </c>
      <c r="L26" s="405">
        <v>0</v>
      </c>
      <c r="M26" s="405">
        <v>0</v>
      </c>
      <c r="N26" s="1108">
        <f t="shared" si="1"/>
        <v>0</v>
      </c>
    </row>
    <row r="27" spans="2:15">
      <c r="B27" s="1109">
        <v>7</v>
      </c>
      <c r="C27" s="411"/>
      <c r="D27" s="913"/>
      <c r="E27" s="404">
        <v>0</v>
      </c>
      <c r="F27" s="405">
        <v>0</v>
      </c>
      <c r="G27" s="405">
        <v>0</v>
      </c>
      <c r="H27" s="405">
        <v>0</v>
      </c>
      <c r="I27" s="405">
        <v>0</v>
      </c>
      <c r="J27" s="405">
        <v>0</v>
      </c>
      <c r="K27" s="405">
        <v>0</v>
      </c>
      <c r="L27" s="405">
        <v>0</v>
      </c>
      <c r="M27" s="405">
        <v>0</v>
      </c>
      <c r="N27" s="1108">
        <f t="shared" si="1"/>
        <v>0</v>
      </c>
    </row>
    <row r="28" spans="2:15">
      <c r="B28" s="1109">
        <v>8</v>
      </c>
      <c r="C28" s="411"/>
      <c r="D28" s="913"/>
      <c r="E28" s="404">
        <v>0</v>
      </c>
      <c r="F28" s="405">
        <v>0</v>
      </c>
      <c r="G28" s="405">
        <v>0</v>
      </c>
      <c r="H28" s="405">
        <v>0</v>
      </c>
      <c r="I28" s="405">
        <v>0</v>
      </c>
      <c r="J28" s="405">
        <v>0</v>
      </c>
      <c r="K28" s="405">
        <v>0</v>
      </c>
      <c r="L28" s="405">
        <v>0</v>
      </c>
      <c r="M28" s="405">
        <v>0</v>
      </c>
      <c r="N28" s="1108">
        <f t="shared" si="1"/>
        <v>0</v>
      </c>
    </row>
    <row r="29" spans="2:15">
      <c r="B29" s="1109">
        <v>9</v>
      </c>
      <c r="C29" s="411"/>
      <c r="D29" s="913"/>
      <c r="E29" s="404">
        <v>0</v>
      </c>
      <c r="F29" s="405">
        <v>0</v>
      </c>
      <c r="G29" s="405">
        <v>0</v>
      </c>
      <c r="H29" s="405">
        <v>0</v>
      </c>
      <c r="I29" s="405">
        <v>0</v>
      </c>
      <c r="J29" s="405">
        <v>0</v>
      </c>
      <c r="K29" s="405">
        <v>0</v>
      </c>
      <c r="L29" s="405">
        <v>0</v>
      </c>
      <c r="M29" s="405">
        <v>0</v>
      </c>
      <c r="N29" s="1108">
        <f t="shared" si="1"/>
        <v>0</v>
      </c>
    </row>
    <row r="30" spans="2:15">
      <c r="B30" s="1109">
        <v>10</v>
      </c>
      <c r="C30" s="411"/>
      <c r="D30" s="913"/>
      <c r="E30" s="404">
        <v>0</v>
      </c>
      <c r="F30" s="405">
        <v>0</v>
      </c>
      <c r="G30" s="405">
        <v>0</v>
      </c>
      <c r="H30" s="405">
        <v>0</v>
      </c>
      <c r="I30" s="405">
        <v>0</v>
      </c>
      <c r="J30" s="405">
        <v>0</v>
      </c>
      <c r="K30" s="405">
        <v>0</v>
      </c>
      <c r="L30" s="405">
        <v>0</v>
      </c>
      <c r="M30" s="405">
        <v>0</v>
      </c>
      <c r="N30" s="1108">
        <f t="shared" si="1"/>
        <v>0</v>
      </c>
    </row>
    <row r="31" spans="2:15">
      <c r="B31" s="1109">
        <v>11</v>
      </c>
      <c r="C31" s="411"/>
      <c r="D31" s="913"/>
      <c r="E31" s="404">
        <v>0</v>
      </c>
      <c r="F31" s="405">
        <v>0</v>
      </c>
      <c r="G31" s="405">
        <v>0</v>
      </c>
      <c r="H31" s="405">
        <v>0</v>
      </c>
      <c r="I31" s="405">
        <v>0</v>
      </c>
      <c r="J31" s="405">
        <v>0</v>
      </c>
      <c r="K31" s="405">
        <v>0</v>
      </c>
      <c r="L31" s="405">
        <v>0</v>
      </c>
      <c r="M31" s="405">
        <v>0</v>
      </c>
      <c r="N31" s="1108">
        <f t="shared" si="1"/>
        <v>0</v>
      </c>
    </row>
    <row r="32" spans="2:15">
      <c r="B32" s="1109">
        <v>12</v>
      </c>
      <c r="C32" s="411"/>
      <c r="D32" s="913"/>
      <c r="E32" s="404">
        <v>0</v>
      </c>
      <c r="F32" s="405">
        <v>0</v>
      </c>
      <c r="G32" s="405">
        <v>0</v>
      </c>
      <c r="H32" s="405">
        <v>0</v>
      </c>
      <c r="I32" s="405">
        <v>0</v>
      </c>
      <c r="J32" s="405">
        <v>0</v>
      </c>
      <c r="K32" s="405">
        <v>0</v>
      </c>
      <c r="L32" s="405">
        <v>0</v>
      </c>
      <c r="M32" s="405">
        <v>0</v>
      </c>
      <c r="N32" s="1108">
        <f t="shared" si="1"/>
        <v>0</v>
      </c>
    </row>
    <row r="33" spans="1:14">
      <c r="B33" s="1109">
        <v>13</v>
      </c>
      <c r="C33" s="411"/>
      <c r="D33" s="913"/>
      <c r="E33" s="404">
        <v>0</v>
      </c>
      <c r="F33" s="405">
        <v>0</v>
      </c>
      <c r="G33" s="405">
        <v>0</v>
      </c>
      <c r="H33" s="405">
        <v>0</v>
      </c>
      <c r="I33" s="405">
        <v>0</v>
      </c>
      <c r="J33" s="405">
        <v>0</v>
      </c>
      <c r="K33" s="405">
        <v>0</v>
      </c>
      <c r="L33" s="405">
        <v>0</v>
      </c>
      <c r="M33" s="405">
        <v>0</v>
      </c>
      <c r="N33" s="1108">
        <f t="shared" si="1"/>
        <v>0</v>
      </c>
    </row>
    <row r="34" spans="1:14">
      <c r="B34" s="1109">
        <v>14</v>
      </c>
      <c r="C34" s="411"/>
      <c r="D34" s="913"/>
      <c r="E34" s="404">
        <v>0</v>
      </c>
      <c r="F34" s="405">
        <v>0</v>
      </c>
      <c r="G34" s="405">
        <v>0</v>
      </c>
      <c r="H34" s="405">
        <v>0</v>
      </c>
      <c r="I34" s="405">
        <v>0</v>
      </c>
      <c r="J34" s="405">
        <v>0</v>
      </c>
      <c r="K34" s="405">
        <v>0</v>
      </c>
      <c r="L34" s="405">
        <v>0</v>
      </c>
      <c r="M34" s="405">
        <v>0</v>
      </c>
      <c r="N34" s="1108">
        <f t="shared" si="1"/>
        <v>0</v>
      </c>
    </row>
    <row r="35" spans="1:14">
      <c r="B35" s="1110">
        <v>15</v>
      </c>
      <c r="C35" s="412"/>
      <c r="D35" s="914"/>
      <c r="E35" s="406">
        <v>0</v>
      </c>
      <c r="F35" s="407">
        <v>0</v>
      </c>
      <c r="G35" s="407">
        <v>0</v>
      </c>
      <c r="H35" s="407">
        <v>0</v>
      </c>
      <c r="I35" s="407">
        <v>0</v>
      </c>
      <c r="J35" s="407">
        <v>0</v>
      </c>
      <c r="K35" s="407">
        <v>0</v>
      </c>
      <c r="L35" s="407">
        <v>0</v>
      </c>
      <c r="M35" s="407">
        <v>0</v>
      </c>
      <c r="N35" s="1111">
        <f t="shared" si="1"/>
        <v>0</v>
      </c>
    </row>
    <row r="36" spans="1:14">
      <c r="B36" s="147"/>
      <c r="C36" s="147"/>
      <c r="D36" s="147"/>
      <c r="E36" s="147"/>
      <c r="F36" s="147"/>
      <c r="G36" s="147"/>
      <c r="H36" s="147"/>
      <c r="I36" s="147"/>
      <c r="J36" s="147"/>
      <c r="K36" s="147"/>
      <c r="L36" s="147"/>
      <c r="M36" s="147"/>
      <c r="N36" s="147"/>
    </row>
    <row r="37" spans="1:14">
      <c r="B37" s="147"/>
      <c r="C37" s="147"/>
      <c r="D37" s="147"/>
      <c r="E37" s="147"/>
      <c r="F37" s="147"/>
      <c r="G37" s="147"/>
      <c r="H37" s="147"/>
      <c r="I37" s="147"/>
      <c r="J37" s="147"/>
      <c r="K37" s="147"/>
      <c r="L37" s="147"/>
      <c r="M37" s="147"/>
      <c r="N37" s="147"/>
    </row>
    <row r="38" spans="1:14">
      <c r="B38" s="147"/>
      <c r="C38" s="147"/>
      <c r="D38" s="147"/>
      <c r="E38" s="147"/>
      <c r="F38" s="147"/>
      <c r="G38" s="147"/>
      <c r="H38" s="147"/>
      <c r="I38" s="147"/>
      <c r="J38" s="147"/>
      <c r="K38" s="147"/>
      <c r="L38" s="147"/>
      <c r="M38" s="147"/>
      <c r="N38" s="147"/>
    </row>
    <row r="39" spans="1:14" s="346" customFormat="1" hidden="1">
      <c r="B39" s="346" t="s">
        <v>499</v>
      </c>
    </row>
    <row r="40" spans="1:14" s="346" customFormat="1" ht="60.6" hidden="1">
      <c r="A40" s="1112"/>
      <c r="E40" s="1113" t="s">
        <v>342</v>
      </c>
      <c r="F40" s="1113" t="s">
        <v>345</v>
      </c>
      <c r="G40" s="1113" t="s">
        <v>160</v>
      </c>
      <c r="H40" s="1113" t="s">
        <v>175</v>
      </c>
      <c r="I40" s="1113" t="s">
        <v>151</v>
      </c>
      <c r="J40" s="1113" t="s">
        <v>349</v>
      </c>
      <c r="K40" s="1113" t="s">
        <v>177</v>
      </c>
      <c r="L40" s="1113" t="s">
        <v>352</v>
      </c>
      <c r="M40" s="1113" t="s">
        <v>162</v>
      </c>
    </row>
    <row r="41" spans="1:14" s="1114" customFormat="1" hidden="1">
      <c r="C41" s="1115" t="s">
        <v>500</v>
      </c>
      <c r="D41" s="1115"/>
      <c r="E41" s="1115">
        <f>IF(SUM(E10:E14)&gt;=1,1,0)</f>
        <v>0</v>
      </c>
      <c r="F41" s="1115">
        <f t="shared" ref="F41:M41" si="2">IF(SUM(F10:F14)&gt;=1,1,0)</f>
        <v>0</v>
      </c>
      <c r="G41" s="1115">
        <f t="shared" si="2"/>
        <v>0</v>
      </c>
      <c r="H41" s="1115">
        <f t="shared" si="2"/>
        <v>0</v>
      </c>
      <c r="I41" s="1115">
        <f t="shared" si="2"/>
        <v>0</v>
      </c>
      <c r="J41" s="1115">
        <f t="shared" si="2"/>
        <v>0</v>
      </c>
      <c r="K41" s="1115">
        <f t="shared" si="2"/>
        <v>0</v>
      </c>
      <c r="L41" s="1115">
        <f t="shared" si="2"/>
        <v>0</v>
      </c>
      <c r="M41" s="1115">
        <f t="shared" si="2"/>
        <v>0</v>
      </c>
      <c r="N41" s="355" t="s">
        <v>501</v>
      </c>
    </row>
    <row r="42" spans="1:14" s="1114" customFormat="1" hidden="1">
      <c r="C42" s="1114" t="s">
        <v>502</v>
      </c>
      <c r="E42" s="1116">
        <v>1</v>
      </c>
      <c r="F42" s="355" t="s">
        <v>503</v>
      </c>
      <c r="N42" s="355"/>
    </row>
    <row r="43" spans="1:14" s="1114" customFormat="1" ht="15" hidden="1" thickBot="1">
      <c r="B43" s="346" t="s">
        <v>504</v>
      </c>
      <c r="C43" s="346" t="s">
        <v>505</v>
      </c>
      <c r="D43" s="346"/>
      <c r="N43" s="1114" t="s">
        <v>506</v>
      </c>
    </row>
    <row r="44" spans="1:14" s="346" customFormat="1" hidden="1">
      <c r="A44" s="1661" t="s">
        <v>507</v>
      </c>
      <c r="B44" s="1117" t="b">
        <f t="shared" ref="B44:B58" si="3">N21&lt;&gt;0</f>
        <v>0</v>
      </c>
      <c r="C44" s="1117" t="str">
        <f t="shared" ref="C44:C58" si="4">IF(N21=0,"",C21)</f>
        <v/>
      </c>
      <c r="D44" s="1117"/>
      <c r="E44" s="1118" t="str">
        <f>IF((E21*E$41)=0,"",Tables!C$41)</f>
        <v/>
      </c>
      <c r="F44" s="1118" t="str">
        <f>IF((F21*F$41)=0,"",Tables!D$41)</f>
        <v/>
      </c>
      <c r="G44" s="1118" t="str">
        <f>IF((G21*G$41)=0,"",Tables!E$41)</f>
        <v/>
      </c>
      <c r="H44" s="1118" t="str">
        <f>IF((H21*H$41)=0,"",Tables!F$41)</f>
        <v/>
      </c>
      <c r="I44" s="1118" t="str">
        <f>IF((I21*I$41)=0,"",Tables!G$41)</f>
        <v/>
      </c>
      <c r="J44" s="1118" t="str">
        <f>IF((J21*J$41)=0,"",Tables!H$41)</f>
        <v/>
      </c>
      <c r="K44" s="1118" t="str">
        <f>IF((K21*K$41)=0,"",Tables!I$41)</f>
        <v/>
      </c>
      <c r="L44" s="1118" t="str">
        <f>IF((L21*L$41)=0,"",Tables!J$41)</f>
        <v/>
      </c>
      <c r="M44" s="1119" t="str">
        <f>IF((M21*M$41)=0,"",Tables!K$41)</f>
        <v/>
      </c>
      <c r="N44" s="101" t="str">
        <f>IF(AND($E$42=1,B44=TRUE),"Provide 3 weeks of 15 to 30 minute interval data for:"&amp;E44&amp;F44&amp;G44&amp;H44&amp;I44&amp;J44&amp;K44&amp;L44&amp;M44,"")</f>
        <v/>
      </c>
    </row>
    <row r="45" spans="1:14" s="346" customFormat="1" hidden="1">
      <c r="A45" s="1662"/>
      <c r="B45" s="352" t="b">
        <f t="shared" si="3"/>
        <v>0</v>
      </c>
      <c r="C45" s="352" t="str">
        <f t="shared" si="4"/>
        <v/>
      </c>
      <c r="D45" s="352"/>
      <c r="E45" s="1120" t="str">
        <f>IF((E22*E$41)=0,"",Tables!C$41)</f>
        <v/>
      </c>
      <c r="F45" s="1120" t="str">
        <f>IF((F22*F$41)=0,"",Tables!D$41)</f>
        <v/>
      </c>
      <c r="G45" s="1120" t="str">
        <f>IF((G22*G$41)=0,"",Tables!E$41)</f>
        <v/>
      </c>
      <c r="H45" s="1120" t="str">
        <f>IF((H22*H$41)=0,"",Tables!F$41)</f>
        <v/>
      </c>
      <c r="I45" s="1120" t="str">
        <f>IF((I22*I$41)=0,"",Tables!G$41)</f>
        <v/>
      </c>
      <c r="J45" s="1120" t="str">
        <f>IF((J22*J$41)=0,"",Tables!H$41)</f>
        <v/>
      </c>
      <c r="K45" s="1120" t="str">
        <f>IF((K22*K$41)=0,"",Tables!I$41)</f>
        <v/>
      </c>
      <c r="L45" s="1120" t="str">
        <f>IF((L22*L$41)=0,"",Tables!J$41)</f>
        <v/>
      </c>
      <c r="M45" s="1121" t="str">
        <f>IF((M22*M$41)=0,"",Tables!K$41)</f>
        <v/>
      </c>
      <c r="N45" s="1122" t="str">
        <f t="shared" ref="N45:N58" si="5">IF(AND($E$42=1,B45=TRUE),"Provide 3 weeks of 15 to 30 minute interval data for:"&amp;E45&amp;F45&amp;G45&amp;H45&amp;I45&amp;J45&amp;K45&amp;L45&amp;M45,"")</f>
        <v/>
      </c>
    </row>
    <row r="46" spans="1:14" s="346" customFormat="1" hidden="1">
      <c r="A46" s="1662"/>
      <c r="B46" s="352" t="b">
        <f t="shared" si="3"/>
        <v>0</v>
      </c>
      <c r="C46" s="352" t="str">
        <f t="shared" si="4"/>
        <v/>
      </c>
      <c r="D46" s="352"/>
      <c r="E46" s="1120" t="str">
        <f>IF((E23*E$41)=0,"",Tables!C$41)</f>
        <v/>
      </c>
      <c r="F46" s="1120" t="str">
        <f>IF((F23*F$41)=0,"",Tables!D$41)</f>
        <v/>
      </c>
      <c r="G46" s="1120" t="str">
        <f>IF((G23*G$41)=0,"",Tables!E$41)</f>
        <v/>
      </c>
      <c r="H46" s="1120" t="str">
        <f>IF((H23*H$41)=0,"",Tables!F$41)</f>
        <v/>
      </c>
      <c r="I46" s="1120" t="str">
        <f>IF((I23*I$41)=0,"",Tables!G$41)</f>
        <v/>
      </c>
      <c r="J46" s="1120" t="str">
        <f>IF((J23*J$41)=0,"",Tables!H$41)</f>
        <v/>
      </c>
      <c r="K46" s="1120" t="str">
        <f>IF((K23*K$41)=0,"",Tables!I$41)</f>
        <v/>
      </c>
      <c r="L46" s="1120" t="str">
        <f>IF((L23*L$41)=0,"",Tables!J$41)</f>
        <v/>
      </c>
      <c r="M46" s="1121" t="str">
        <f>IF((M23*M$41)=0,"",Tables!K$41)</f>
        <v/>
      </c>
      <c r="N46" s="1122" t="str">
        <f t="shared" si="5"/>
        <v/>
      </c>
    </row>
    <row r="47" spans="1:14" s="346" customFormat="1" hidden="1">
      <c r="A47" s="1662"/>
      <c r="B47" s="352" t="b">
        <f t="shared" si="3"/>
        <v>0</v>
      </c>
      <c r="C47" s="352" t="str">
        <f t="shared" si="4"/>
        <v/>
      </c>
      <c r="D47" s="352"/>
      <c r="E47" s="1120" t="str">
        <f>IF((E24*E$41)=0,"",Tables!C$41)</f>
        <v/>
      </c>
      <c r="F47" s="1120" t="str">
        <f>IF((F24*F$41)=0,"",Tables!D$41)</f>
        <v/>
      </c>
      <c r="G47" s="1120" t="str">
        <f>IF((G24*G$41)=0,"",Tables!E$41)</f>
        <v/>
      </c>
      <c r="H47" s="1120" t="str">
        <f>IF((H24*H$41)=0,"",Tables!F$41)</f>
        <v/>
      </c>
      <c r="I47" s="1120" t="str">
        <f>IF((I24*I$41)=0,"",Tables!G$41)</f>
        <v/>
      </c>
      <c r="J47" s="1120" t="str">
        <f>IF((J24*J$41)=0,"",Tables!H$41)</f>
        <v/>
      </c>
      <c r="K47" s="1120" t="str">
        <f>IF((K24*K$41)=0,"",Tables!I$41)</f>
        <v/>
      </c>
      <c r="L47" s="1120" t="str">
        <f>IF((L24*L$41)=0,"",Tables!J$41)</f>
        <v/>
      </c>
      <c r="M47" s="1121" t="str">
        <f>IF((M24*M$41)=0,"",Tables!K$41)</f>
        <v/>
      </c>
      <c r="N47" s="1122" t="str">
        <f t="shared" si="5"/>
        <v/>
      </c>
    </row>
    <row r="48" spans="1:14" s="346" customFormat="1" hidden="1">
      <c r="A48" s="1662"/>
      <c r="B48" s="352" t="b">
        <f t="shared" si="3"/>
        <v>0</v>
      </c>
      <c r="C48" s="352" t="str">
        <f t="shared" si="4"/>
        <v/>
      </c>
      <c r="D48" s="352"/>
      <c r="E48" s="1120" t="str">
        <f>IF((E25*E$41)=0,"",Tables!C$41)</f>
        <v/>
      </c>
      <c r="F48" s="1120" t="str">
        <f>IF((F25*F$41)=0,"",Tables!D$41)</f>
        <v/>
      </c>
      <c r="G48" s="1120" t="str">
        <f>IF((G25*G$41)=0,"",Tables!E$41)</f>
        <v/>
      </c>
      <c r="H48" s="1120" t="str">
        <f>IF((H25*H$41)=0,"",Tables!F$41)</f>
        <v/>
      </c>
      <c r="I48" s="1120" t="str">
        <f>IF((I25*I$41)=0,"",Tables!G$41)</f>
        <v/>
      </c>
      <c r="J48" s="1120" t="str">
        <f>IF((J25*J$41)=0,"",Tables!H$41)</f>
        <v/>
      </c>
      <c r="K48" s="1120" t="str">
        <f>IF((K25*K$41)=0,"",Tables!I$41)</f>
        <v/>
      </c>
      <c r="L48" s="1120" t="str">
        <f>IF((L25*L$41)=0,"",Tables!J$41)</f>
        <v/>
      </c>
      <c r="M48" s="1121" t="str">
        <f>IF((M25*M$41)=0,"",Tables!K$41)</f>
        <v/>
      </c>
      <c r="N48" s="1122" t="str">
        <f t="shared" si="5"/>
        <v/>
      </c>
    </row>
    <row r="49" spans="1:14" s="346" customFormat="1" hidden="1">
      <c r="A49" s="1662"/>
      <c r="B49" s="352" t="b">
        <f t="shared" si="3"/>
        <v>0</v>
      </c>
      <c r="C49" s="352" t="str">
        <f t="shared" si="4"/>
        <v/>
      </c>
      <c r="D49" s="352"/>
      <c r="E49" s="1120" t="str">
        <f>IF((E26*E$41)=0,"",Tables!C$41)</f>
        <v/>
      </c>
      <c r="F49" s="1120" t="str">
        <f>IF((F26*F$41)=0,"",Tables!D$41)</f>
        <v/>
      </c>
      <c r="G49" s="1120" t="str">
        <f>IF((G26*G$41)=0,"",Tables!E$41)</f>
        <v/>
      </c>
      <c r="H49" s="1120" t="str">
        <f>IF((H26*H$41)=0,"",Tables!F$41)</f>
        <v/>
      </c>
      <c r="I49" s="1120" t="str">
        <f>IF((I26*I$41)=0,"",Tables!G$41)</f>
        <v/>
      </c>
      <c r="J49" s="1120" t="str">
        <f>IF((J26*J$41)=0,"",Tables!H$41)</f>
        <v/>
      </c>
      <c r="K49" s="1120" t="str">
        <f>IF((K26*K$41)=0,"",Tables!I$41)</f>
        <v/>
      </c>
      <c r="L49" s="1120" t="str">
        <f>IF((L26*L$41)=0,"",Tables!J$41)</f>
        <v/>
      </c>
      <c r="M49" s="1121" t="str">
        <f>IF((M26*M$41)=0,"",Tables!K$41)</f>
        <v/>
      </c>
      <c r="N49" s="1122" t="str">
        <f t="shared" si="5"/>
        <v/>
      </c>
    </row>
    <row r="50" spans="1:14" s="346" customFormat="1" hidden="1">
      <c r="A50" s="1662"/>
      <c r="B50" s="352" t="b">
        <f t="shared" si="3"/>
        <v>0</v>
      </c>
      <c r="C50" s="352" t="str">
        <f t="shared" si="4"/>
        <v/>
      </c>
      <c r="D50" s="352"/>
      <c r="E50" s="1120" t="str">
        <f>IF((E27*E$41)=0,"",Tables!C$41)</f>
        <v/>
      </c>
      <c r="F50" s="1120" t="str">
        <f>IF((F27*F$41)=0,"",Tables!D$41)</f>
        <v/>
      </c>
      <c r="G50" s="1120" t="str">
        <f>IF((G27*G$41)=0,"",Tables!E$41)</f>
        <v/>
      </c>
      <c r="H50" s="1120" t="str">
        <f>IF((H27*H$41)=0,"",Tables!F$41)</f>
        <v/>
      </c>
      <c r="I50" s="1120" t="str">
        <f>IF((I27*I$41)=0,"",Tables!G$41)</f>
        <v/>
      </c>
      <c r="J50" s="1120" t="str">
        <f>IF((J27*J$41)=0,"",Tables!H$41)</f>
        <v/>
      </c>
      <c r="K50" s="1120" t="str">
        <f>IF((K27*K$41)=0,"",Tables!I$41)</f>
        <v/>
      </c>
      <c r="L50" s="1120" t="str">
        <f>IF((L27*L$41)=0,"",Tables!J$41)</f>
        <v/>
      </c>
      <c r="M50" s="1121" t="str">
        <f>IF((M27*M$41)=0,"",Tables!K$41)</f>
        <v/>
      </c>
      <c r="N50" s="1122" t="str">
        <f t="shared" si="5"/>
        <v/>
      </c>
    </row>
    <row r="51" spans="1:14" s="346" customFormat="1" hidden="1">
      <c r="A51" s="1662"/>
      <c r="B51" s="352" t="b">
        <f t="shared" si="3"/>
        <v>0</v>
      </c>
      <c r="C51" s="352" t="str">
        <f t="shared" si="4"/>
        <v/>
      </c>
      <c r="D51" s="352"/>
      <c r="E51" s="1120" t="str">
        <f>IF((E28*E$41)=0,"",Tables!C$41)</f>
        <v/>
      </c>
      <c r="F51" s="1120" t="str">
        <f>IF((F28*F$41)=0,"",Tables!D$41)</f>
        <v/>
      </c>
      <c r="G51" s="1120" t="str">
        <f>IF((G28*G$41)=0,"",Tables!E$41)</f>
        <v/>
      </c>
      <c r="H51" s="1120" t="str">
        <f>IF((H28*H$41)=0,"",Tables!F$41)</f>
        <v/>
      </c>
      <c r="I51" s="1120" t="str">
        <f>IF((I28*I$41)=0,"",Tables!G$41)</f>
        <v/>
      </c>
      <c r="J51" s="1120" t="str">
        <f>IF((J28*J$41)=0,"",Tables!H$41)</f>
        <v/>
      </c>
      <c r="K51" s="1120" t="str">
        <f>IF((K28*K$41)=0,"",Tables!I$41)</f>
        <v/>
      </c>
      <c r="L51" s="1120" t="str">
        <f>IF((L28*L$41)=0,"",Tables!J$41)</f>
        <v/>
      </c>
      <c r="M51" s="1121" t="str">
        <f>IF((M28*M$41)=0,"",Tables!K$41)</f>
        <v/>
      </c>
      <c r="N51" s="1122" t="str">
        <f t="shared" si="5"/>
        <v/>
      </c>
    </row>
    <row r="52" spans="1:14" s="346" customFormat="1" hidden="1">
      <c r="A52" s="1662"/>
      <c r="B52" s="352" t="b">
        <f t="shared" si="3"/>
        <v>0</v>
      </c>
      <c r="C52" s="352" t="str">
        <f t="shared" si="4"/>
        <v/>
      </c>
      <c r="D52" s="352"/>
      <c r="E52" s="1120" t="str">
        <f>IF((E29*E$41)=0,"",Tables!C$41)</f>
        <v/>
      </c>
      <c r="F52" s="1120" t="str">
        <f>IF((F29*F$41)=0,"",Tables!D$41)</f>
        <v/>
      </c>
      <c r="G52" s="1120" t="str">
        <f>IF((G29*G$41)=0,"",Tables!E$41)</f>
        <v/>
      </c>
      <c r="H52" s="1120" t="str">
        <f>IF((H29*H$41)=0,"",Tables!F$41)</f>
        <v/>
      </c>
      <c r="I52" s="1120" t="str">
        <f>IF((I29*I$41)=0,"",Tables!G$41)</f>
        <v/>
      </c>
      <c r="J52" s="1120" t="str">
        <f>IF((J29*J$41)=0,"",Tables!H$41)</f>
        <v/>
      </c>
      <c r="K52" s="1120" t="str">
        <f>IF((K29*K$41)=0,"",Tables!I$41)</f>
        <v/>
      </c>
      <c r="L52" s="1120" t="str">
        <f>IF((L29*L$41)=0,"",Tables!J$41)</f>
        <v/>
      </c>
      <c r="M52" s="1121" t="str">
        <f>IF((M29*M$41)=0,"",Tables!K$41)</f>
        <v/>
      </c>
      <c r="N52" s="1122" t="str">
        <f t="shared" si="5"/>
        <v/>
      </c>
    </row>
    <row r="53" spans="1:14" s="346" customFormat="1" hidden="1">
      <c r="A53" s="1662"/>
      <c r="B53" s="352" t="b">
        <f t="shared" si="3"/>
        <v>0</v>
      </c>
      <c r="C53" s="352" t="str">
        <f t="shared" si="4"/>
        <v/>
      </c>
      <c r="D53" s="352"/>
      <c r="E53" s="1120" t="str">
        <f>IF((E30*E$41)=0,"",Tables!C$41)</f>
        <v/>
      </c>
      <c r="F53" s="1120" t="str">
        <f>IF((F30*F$41)=0,"",Tables!D$41)</f>
        <v/>
      </c>
      <c r="G53" s="1120" t="str">
        <f>IF((G30*G$41)=0,"",Tables!E$41)</f>
        <v/>
      </c>
      <c r="H53" s="1120" t="str">
        <f>IF((H30*H$41)=0,"",Tables!F$41)</f>
        <v/>
      </c>
      <c r="I53" s="1120" t="str">
        <f>IF((I30*I$41)=0,"",Tables!G$41)</f>
        <v/>
      </c>
      <c r="J53" s="1120" t="str">
        <f>IF((J30*J$41)=0,"",Tables!H$41)</f>
        <v/>
      </c>
      <c r="K53" s="1120" t="str">
        <f>IF((K30*K$41)=0,"",Tables!I$41)</f>
        <v/>
      </c>
      <c r="L53" s="1120" t="str">
        <f>IF((L30*L$41)=0,"",Tables!J$41)</f>
        <v/>
      </c>
      <c r="M53" s="1121" t="str">
        <f>IF((M30*M$41)=0,"",Tables!K$41)</f>
        <v/>
      </c>
      <c r="N53" s="1122" t="str">
        <f t="shared" si="5"/>
        <v/>
      </c>
    </row>
    <row r="54" spans="1:14" s="346" customFormat="1" hidden="1">
      <c r="A54" s="1662"/>
      <c r="B54" s="352" t="b">
        <f t="shared" si="3"/>
        <v>0</v>
      </c>
      <c r="C54" s="352" t="str">
        <f t="shared" si="4"/>
        <v/>
      </c>
      <c r="D54" s="352"/>
      <c r="E54" s="1120" t="str">
        <f>IF((E31*E$41)=0,"",Tables!C$41)</f>
        <v/>
      </c>
      <c r="F54" s="1120" t="str">
        <f>IF((F31*F$41)=0,"",Tables!D$41)</f>
        <v/>
      </c>
      <c r="G54" s="1120" t="str">
        <f>IF((G31*G$41)=0,"",Tables!E$41)</f>
        <v/>
      </c>
      <c r="H54" s="1120" t="str">
        <f>IF((H31*H$41)=0,"",Tables!F$41)</f>
        <v/>
      </c>
      <c r="I54" s="1120" t="str">
        <f>IF((I31*I$41)=0,"",Tables!G$41)</f>
        <v/>
      </c>
      <c r="J54" s="1120" t="str">
        <f>IF((J31*J$41)=0,"",Tables!H$41)</f>
        <v/>
      </c>
      <c r="K54" s="1120" t="str">
        <f>IF((K31*K$41)=0,"",Tables!I$41)</f>
        <v/>
      </c>
      <c r="L54" s="1120" t="str">
        <f>IF((L31*L$41)=0,"",Tables!J$41)</f>
        <v/>
      </c>
      <c r="M54" s="1121" t="str">
        <f>IF((M31*M$41)=0,"",Tables!K$41)</f>
        <v/>
      </c>
      <c r="N54" s="1122" t="str">
        <f t="shared" si="5"/>
        <v/>
      </c>
    </row>
    <row r="55" spans="1:14" s="346" customFormat="1" hidden="1">
      <c r="A55" s="1662"/>
      <c r="B55" s="352" t="b">
        <f t="shared" si="3"/>
        <v>0</v>
      </c>
      <c r="C55" s="352" t="str">
        <f t="shared" si="4"/>
        <v/>
      </c>
      <c r="D55" s="352"/>
      <c r="E55" s="1120" t="str">
        <f>IF((E32*E$41)=0,"",Tables!C$41)</f>
        <v/>
      </c>
      <c r="F55" s="1120" t="str">
        <f>IF((F32*F$41)=0,"",Tables!D$41)</f>
        <v/>
      </c>
      <c r="G55" s="1120" t="str">
        <f>IF((G32*G$41)=0,"",Tables!E$41)</f>
        <v/>
      </c>
      <c r="H55" s="1120" t="str">
        <f>IF((H32*H$41)=0,"",Tables!F$41)</f>
        <v/>
      </c>
      <c r="I55" s="1120" t="str">
        <f>IF((I32*I$41)=0,"",Tables!G$41)</f>
        <v/>
      </c>
      <c r="J55" s="1120" t="str">
        <f>IF((J32*J$41)=0,"",Tables!H$41)</f>
        <v/>
      </c>
      <c r="K55" s="1120" t="str">
        <f>IF((K32*K$41)=0,"",Tables!I$41)</f>
        <v/>
      </c>
      <c r="L55" s="1120" t="str">
        <f>IF((L32*L$41)=0,"",Tables!J$41)</f>
        <v/>
      </c>
      <c r="M55" s="1121" t="str">
        <f>IF((M32*M$41)=0,"",Tables!K$41)</f>
        <v/>
      </c>
      <c r="N55" s="1122" t="str">
        <f t="shared" si="5"/>
        <v/>
      </c>
    </row>
    <row r="56" spans="1:14" s="346" customFormat="1" hidden="1">
      <c r="A56" s="1662"/>
      <c r="B56" s="352" t="b">
        <f t="shared" si="3"/>
        <v>0</v>
      </c>
      <c r="C56" s="352" t="str">
        <f t="shared" si="4"/>
        <v/>
      </c>
      <c r="D56" s="352"/>
      <c r="E56" s="1120" t="str">
        <f>IF((E33*E$41)=0,"",Tables!C$41)</f>
        <v/>
      </c>
      <c r="F56" s="1120" t="str">
        <f>IF((F33*F$41)=0,"",Tables!D$41)</f>
        <v/>
      </c>
      <c r="G56" s="1120" t="str">
        <f>IF((G33*G$41)=0,"",Tables!E$41)</f>
        <v/>
      </c>
      <c r="H56" s="1120" t="str">
        <f>IF((H33*H$41)=0,"",Tables!F$41)</f>
        <v/>
      </c>
      <c r="I56" s="1120" t="str">
        <f>IF((I33*I$41)=0,"",Tables!G$41)</f>
        <v/>
      </c>
      <c r="J56" s="1120" t="str">
        <f>IF((J33*J$41)=0,"",Tables!H$41)</f>
        <v/>
      </c>
      <c r="K56" s="1120" t="str">
        <f>IF((K33*K$41)=0,"",Tables!I$41)</f>
        <v/>
      </c>
      <c r="L56" s="1120" t="str">
        <f>IF((L33*L$41)=0,"",Tables!J$41)</f>
        <v/>
      </c>
      <c r="M56" s="1121" t="str">
        <f>IF((M33*M$41)=0,"",Tables!K$41)</f>
        <v/>
      </c>
      <c r="N56" s="1122" t="str">
        <f t="shared" si="5"/>
        <v/>
      </c>
    </row>
    <row r="57" spans="1:14" s="346" customFormat="1" hidden="1">
      <c r="A57" s="1662"/>
      <c r="B57" s="352" t="b">
        <f t="shared" si="3"/>
        <v>0</v>
      </c>
      <c r="C57" s="352" t="str">
        <f t="shared" si="4"/>
        <v/>
      </c>
      <c r="D57" s="352"/>
      <c r="E57" s="1120" t="str">
        <f>IF((E34*E$41)=0,"",Tables!C$41)</f>
        <v/>
      </c>
      <c r="F57" s="1120" t="str">
        <f>IF((F34*F$41)=0,"",Tables!D$41)</f>
        <v/>
      </c>
      <c r="G57" s="1120" t="str">
        <f>IF((G34*G$41)=0,"",Tables!E$41)</f>
        <v/>
      </c>
      <c r="H57" s="1120" t="str">
        <f>IF((H34*H$41)=0,"",Tables!F$41)</f>
        <v/>
      </c>
      <c r="I57" s="1120" t="str">
        <f>IF((I34*I$41)=0,"",Tables!G$41)</f>
        <v/>
      </c>
      <c r="J57" s="1120" t="str">
        <f>IF((J34*J$41)=0,"",Tables!H$41)</f>
        <v/>
      </c>
      <c r="K57" s="1120" t="str">
        <f>IF((K34*K$41)=0,"",Tables!I$41)</f>
        <v/>
      </c>
      <c r="L57" s="1120" t="str">
        <f>IF((L34*L$41)=0,"",Tables!J$41)</f>
        <v/>
      </c>
      <c r="M57" s="1121" t="str">
        <f>IF((M34*M$41)=0,"",Tables!K$41)</f>
        <v/>
      </c>
      <c r="N57" s="1122" t="str">
        <f t="shared" si="5"/>
        <v/>
      </c>
    </row>
    <row r="58" spans="1:14" s="346" customFormat="1" ht="15" hidden="1" thickBot="1">
      <c r="A58" s="1663"/>
      <c r="B58" s="1123" t="b">
        <f t="shared" si="3"/>
        <v>0</v>
      </c>
      <c r="C58" s="1123" t="str">
        <f t="shared" si="4"/>
        <v/>
      </c>
      <c r="D58" s="1123"/>
      <c r="E58" s="1124" t="str">
        <f>IF((E35*E$41)=0,"",Tables!C$41)</f>
        <v/>
      </c>
      <c r="F58" s="1124" t="str">
        <f>IF((F35*F$41)=0,"",Tables!D$41)</f>
        <v/>
      </c>
      <c r="G58" s="1124" t="str">
        <f>IF((G35*G$41)=0,"",Tables!E$41)</f>
        <v/>
      </c>
      <c r="H58" s="1124" t="str">
        <f>IF((H35*H$41)=0,"",Tables!F$41)</f>
        <v/>
      </c>
      <c r="I58" s="1124" t="str">
        <f>IF((I35*I$41)=0,"",Tables!G$41)</f>
        <v/>
      </c>
      <c r="J58" s="1124" t="str">
        <f>IF((J35*J$41)=0,"",Tables!H$41)</f>
        <v/>
      </c>
      <c r="K58" s="1124" t="str">
        <f>IF((K35*K$41)=0,"",Tables!I$41)</f>
        <v/>
      </c>
      <c r="L58" s="1124" t="str">
        <f>IF((L35*L$41)=0,"",Tables!J$41)</f>
        <v/>
      </c>
      <c r="M58" s="1125" t="str">
        <f>IF((M35*M$41)=0,"",Tables!K$41)</f>
        <v/>
      </c>
      <c r="N58" s="1126" t="str">
        <f t="shared" si="5"/>
        <v/>
      </c>
    </row>
    <row r="59" spans="1:14" s="346" customFormat="1" hidden="1">
      <c r="A59" s="1661" t="s">
        <v>508</v>
      </c>
      <c r="B59" s="1127" t="b">
        <f>B44</f>
        <v>0</v>
      </c>
      <c r="C59" s="1127" t="str">
        <f>C44</f>
        <v/>
      </c>
      <c r="D59" s="1127"/>
      <c r="E59" s="1128" t="str">
        <f>IF((E21*E$41)=0,"",Tables!C$42)</f>
        <v/>
      </c>
      <c r="F59" s="1128" t="str">
        <f>IF((F21*F$41)=0,"",Tables!D$42)</f>
        <v/>
      </c>
      <c r="G59" s="1128" t="str">
        <f>IF((G21*G$41)=0,"",Tables!E$42)</f>
        <v/>
      </c>
      <c r="H59" s="1128" t="str">
        <f>IF((H21*H$41)=0,"",Tables!F$42)</f>
        <v/>
      </c>
      <c r="I59" s="1128" t="str">
        <f>IF((I21*I$41)=0,"",Tables!G$42)</f>
        <v/>
      </c>
      <c r="J59" s="1128" t="str">
        <f>IF((J21*J$41)=0,"",Tables!H$42)</f>
        <v/>
      </c>
      <c r="K59" s="1128" t="str">
        <f>IF((K21*K$41)=0,"",Tables!I$42)</f>
        <v/>
      </c>
      <c r="L59" s="1128" t="str">
        <f>IF((L21*L$41)=0,"",Tables!J$42)</f>
        <v/>
      </c>
      <c r="M59" s="1129" t="str">
        <f>IF((M21*M$41)=0,"",Tables!K$42)</f>
        <v/>
      </c>
      <c r="N59" s="1130" t="str">
        <f>IF(B44=TRUE,"Include screenshots of noted interval data points as well as:"&amp;E59&amp;F59&amp;G59&amp;H59&amp;I59&amp;J59&amp;K59&amp;L59&amp;M59,"")</f>
        <v/>
      </c>
    </row>
    <row r="60" spans="1:14" s="346" customFormat="1" hidden="1">
      <c r="A60" s="1662"/>
      <c r="B60" s="352" t="b">
        <f t="shared" ref="B60:C60" si="6">B45</f>
        <v>0</v>
      </c>
      <c r="C60" s="352" t="str">
        <f t="shared" si="6"/>
        <v/>
      </c>
      <c r="D60" s="352"/>
      <c r="E60" s="1120" t="str">
        <f>IF((E22*E$41)=0,"",Tables!C$42)</f>
        <v/>
      </c>
      <c r="F60" s="1120" t="str">
        <f>IF((F22*F$41)=0,"",Tables!D$42)</f>
        <v/>
      </c>
      <c r="G60" s="1120" t="str">
        <f>IF((G22*G$41)=0,"",Tables!E$42)</f>
        <v/>
      </c>
      <c r="H60" s="1120" t="str">
        <f>IF((H22*H$41)=0,"",Tables!F$42)</f>
        <v/>
      </c>
      <c r="I60" s="1120" t="str">
        <f>IF((I22*I$41)=0,"",Tables!G$42)</f>
        <v/>
      </c>
      <c r="J60" s="1120" t="str">
        <f>IF((J22*J$41)=0,"",Tables!H$42)</f>
        <v/>
      </c>
      <c r="K60" s="1120" t="str">
        <f>IF((K22*K$41)=0,"",Tables!I$42)</f>
        <v/>
      </c>
      <c r="L60" s="1120" t="str">
        <f>IF((L22*L$41)=0,"",Tables!J$42)</f>
        <v/>
      </c>
      <c r="M60" s="1121" t="str">
        <f>IF((M22*M$41)=0,"",Tables!K$42)</f>
        <v/>
      </c>
      <c r="N60" s="1122" t="str">
        <f t="shared" ref="N60:N73" si="7">IF(B45=TRUE,"Include screenshots of noted interval data points as well as:"&amp;E60&amp;F60&amp;G60&amp;H60&amp;I60&amp;J60&amp;K60&amp;L60&amp;M60,"")</f>
        <v/>
      </c>
    </row>
    <row r="61" spans="1:14" s="346" customFormat="1" hidden="1">
      <c r="A61" s="1662"/>
      <c r="B61" s="352" t="b">
        <f t="shared" ref="B61:C61" si="8">B46</f>
        <v>0</v>
      </c>
      <c r="C61" s="352" t="str">
        <f t="shared" si="8"/>
        <v/>
      </c>
      <c r="D61" s="352"/>
      <c r="E61" s="1120" t="str">
        <f>IF((E23*E$41)=0,"",Tables!C$42)</f>
        <v/>
      </c>
      <c r="F61" s="1120" t="str">
        <f>IF((F23*F$41)=0,"",Tables!D$42)</f>
        <v/>
      </c>
      <c r="G61" s="1120" t="str">
        <f>IF((G23*G$41)=0,"",Tables!E$42)</f>
        <v/>
      </c>
      <c r="H61" s="1120" t="str">
        <f>IF((H23*H$41)=0,"",Tables!F$42)</f>
        <v/>
      </c>
      <c r="I61" s="1120" t="str">
        <f>IF((I23*I$41)=0,"",Tables!G$42)</f>
        <v/>
      </c>
      <c r="J61" s="1120" t="str">
        <f>IF((J23*J$41)=0,"",Tables!H$42)</f>
        <v/>
      </c>
      <c r="K61" s="1120" t="str">
        <f>IF((K23*K$41)=0,"",Tables!I$42)</f>
        <v/>
      </c>
      <c r="L61" s="1120" t="str">
        <f>IF((L23*L$41)=0,"",Tables!J$42)</f>
        <v/>
      </c>
      <c r="M61" s="1121" t="str">
        <f>IF((M23*M$41)=0,"",Tables!K$42)</f>
        <v/>
      </c>
      <c r="N61" s="1122" t="str">
        <f t="shared" si="7"/>
        <v/>
      </c>
    </row>
    <row r="62" spans="1:14" s="346" customFormat="1" hidden="1">
      <c r="A62" s="1662"/>
      <c r="B62" s="352" t="b">
        <f t="shared" ref="B62:C62" si="9">B47</f>
        <v>0</v>
      </c>
      <c r="C62" s="352" t="str">
        <f t="shared" si="9"/>
        <v/>
      </c>
      <c r="D62" s="352"/>
      <c r="E62" s="1120" t="str">
        <f>IF((E24*E$41)=0,"",Tables!C$42)</f>
        <v/>
      </c>
      <c r="F62" s="1120" t="str">
        <f>IF((F24*F$41)=0,"",Tables!D$42)</f>
        <v/>
      </c>
      <c r="G62" s="1120" t="str">
        <f>IF((G24*G$41)=0,"",Tables!E$42)</f>
        <v/>
      </c>
      <c r="H62" s="1120" t="str">
        <f>IF((H24*H$41)=0,"",Tables!F$42)</f>
        <v/>
      </c>
      <c r="I62" s="1120" t="str">
        <f>IF((I24*I$41)=0,"",Tables!G$42)</f>
        <v/>
      </c>
      <c r="J62" s="1120" t="str">
        <f>IF((J24*J$41)=0,"",Tables!H$42)</f>
        <v/>
      </c>
      <c r="K62" s="1120" t="str">
        <f>IF((K24*K$41)=0,"",Tables!I$42)</f>
        <v/>
      </c>
      <c r="L62" s="1120" t="str">
        <f>IF((L24*L$41)=0,"",Tables!J$42)</f>
        <v/>
      </c>
      <c r="M62" s="1121" t="str">
        <f>IF((M24*M$41)=0,"",Tables!K$42)</f>
        <v/>
      </c>
      <c r="N62" s="1122" t="str">
        <f t="shared" si="7"/>
        <v/>
      </c>
    </row>
    <row r="63" spans="1:14" s="346" customFormat="1" hidden="1">
      <c r="A63" s="1662"/>
      <c r="B63" s="352" t="b">
        <f t="shared" ref="B63:C63" si="10">B48</f>
        <v>0</v>
      </c>
      <c r="C63" s="352" t="str">
        <f t="shared" si="10"/>
        <v/>
      </c>
      <c r="D63" s="352"/>
      <c r="E63" s="1120" t="str">
        <f>IF((E25*E$41)=0,"",Tables!C$42)</f>
        <v/>
      </c>
      <c r="F63" s="1120" t="str">
        <f>IF((F25*F$41)=0,"",Tables!D$42)</f>
        <v/>
      </c>
      <c r="G63" s="1120" t="str">
        <f>IF((G25*G$41)=0,"",Tables!E$42)</f>
        <v/>
      </c>
      <c r="H63" s="1120" t="str">
        <f>IF((H25*H$41)=0,"",Tables!F$42)</f>
        <v/>
      </c>
      <c r="I63" s="1120" t="str">
        <f>IF((I25*I$41)=0,"",Tables!G$42)</f>
        <v/>
      </c>
      <c r="J63" s="1120" t="str">
        <f>IF((J25*J$41)=0,"",Tables!H$42)</f>
        <v/>
      </c>
      <c r="K63" s="1120" t="str">
        <f>IF((K25*K$41)=0,"",Tables!I$42)</f>
        <v/>
      </c>
      <c r="L63" s="1120" t="str">
        <f>IF((L25*L$41)=0,"",Tables!J$42)</f>
        <v/>
      </c>
      <c r="M63" s="1121" t="str">
        <f>IF((M25*M$41)=0,"",Tables!K$42)</f>
        <v/>
      </c>
      <c r="N63" s="1122" t="str">
        <f t="shared" si="7"/>
        <v/>
      </c>
    </row>
    <row r="64" spans="1:14" s="346" customFormat="1" hidden="1">
      <c r="A64" s="1662"/>
      <c r="B64" s="352" t="b">
        <f t="shared" ref="B64:C64" si="11">B49</f>
        <v>0</v>
      </c>
      <c r="C64" s="352" t="str">
        <f t="shared" si="11"/>
        <v/>
      </c>
      <c r="D64" s="352"/>
      <c r="E64" s="1120" t="str">
        <f>IF((E26*E$41)=0,"",Tables!C$42)</f>
        <v/>
      </c>
      <c r="F64" s="1120" t="str">
        <f>IF((F26*F$41)=0,"",Tables!D$42)</f>
        <v/>
      </c>
      <c r="G64" s="1120" t="str">
        <f>IF((G26*G$41)=0,"",Tables!E$42)</f>
        <v/>
      </c>
      <c r="H64" s="1120" t="str">
        <f>IF((H26*H$41)=0,"",Tables!F$42)</f>
        <v/>
      </c>
      <c r="I64" s="1120" t="str">
        <f>IF((I26*I$41)=0,"",Tables!G$42)</f>
        <v/>
      </c>
      <c r="J64" s="1120" t="str">
        <f>IF((J26*J$41)=0,"",Tables!H$42)</f>
        <v/>
      </c>
      <c r="K64" s="1120" t="str">
        <f>IF((K26*K$41)=0,"",Tables!I$42)</f>
        <v/>
      </c>
      <c r="L64" s="1120" t="str">
        <f>IF((L26*L$41)=0,"",Tables!J$42)</f>
        <v/>
      </c>
      <c r="M64" s="1121" t="str">
        <f>IF((M26*M$41)=0,"",Tables!K$42)</f>
        <v/>
      </c>
      <c r="N64" s="1122" t="str">
        <f t="shared" si="7"/>
        <v/>
      </c>
    </row>
    <row r="65" spans="1:14" s="346" customFormat="1" hidden="1">
      <c r="A65" s="1662"/>
      <c r="B65" s="352" t="b">
        <f t="shared" ref="B65:C65" si="12">B50</f>
        <v>0</v>
      </c>
      <c r="C65" s="352" t="str">
        <f t="shared" si="12"/>
        <v/>
      </c>
      <c r="D65" s="352"/>
      <c r="E65" s="1120" t="str">
        <f>IF((E27*E$41)=0,"",Tables!C$42)</f>
        <v/>
      </c>
      <c r="F65" s="1120" t="str">
        <f>IF((F27*F$41)=0,"",Tables!D$42)</f>
        <v/>
      </c>
      <c r="G65" s="1120" t="str">
        <f>IF((G27*G$41)=0,"",Tables!E$42)</f>
        <v/>
      </c>
      <c r="H65" s="1120" t="str">
        <f>IF((H27*H$41)=0,"",Tables!F$42)</f>
        <v/>
      </c>
      <c r="I65" s="1120" t="str">
        <f>IF((I27*I$41)=0,"",Tables!G$42)</f>
        <v/>
      </c>
      <c r="J65" s="1120" t="str">
        <f>IF((J27*J$41)=0,"",Tables!H$42)</f>
        <v/>
      </c>
      <c r="K65" s="1120" t="str">
        <f>IF((K27*K$41)=0,"",Tables!I$42)</f>
        <v/>
      </c>
      <c r="L65" s="1120" t="str">
        <f>IF((L27*L$41)=0,"",Tables!J$42)</f>
        <v/>
      </c>
      <c r="M65" s="1121" t="str">
        <f>IF((M27*M$41)=0,"",Tables!K$42)</f>
        <v/>
      </c>
      <c r="N65" s="1122" t="str">
        <f t="shared" si="7"/>
        <v/>
      </c>
    </row>
    <row r="66" spans="1:14" s="346" customFormat="1" hidden="1">
      <c r="A66" s="1662"/>
      <c r="B66" s="352" t="b">
        <f t="shared" ref="B66:C66" si="13">B51</f>
        <v>0</v>
      </c>
      <c r="C66" s="352" t="str">
        <f t="shared" si="13"/>
        <v/>
      </c>
      <c r="D66" s="352"/>
      <c r="E66" s="1120" t="str">
        <f>IF((E28*E$41)=0,"",Tables!C$42)</f>
        <v/>
      </c>
      <c r="F66" s="1120" t="str">
        <f>IF((F28*F$41)=0,"",Tables!D$42)</f>
        <v/>
      </c>
      <c r="G66" s="1120" t="str">
        <f>IF((G28*G$41)=0,"",Tables!E$42)</f>
        <v/>
      </c>
      <c r="H66" s="1120" t="str">
        <f>IF((H28*H$41)=0,"",Tables!F$42)</f>
        <v/>
      </c>
      <c r="I66" s="1120" t="str">
        <f>IF((I28*I$41)=0,"",Tables!G$42)</f>
        <v/>
      </c>
      <c r="J66" s="1120" t="str">
        <f>IF((J28*J$41)=0,"",Tables!H$42)</f>
        <v/>
      </c>
      <c r="K66" s="1120" t="str">
        <f>IF((K28*K$41)=0,"",Tables!I$42)</f>
        <v/>
      </c>
      <c r="L66" s="1120" t="str">
        <f>IF((L28*L$41)=0,"",Tables!J$42)</f>
        <v/>
      </c>
      <c r="M66" s="1121" t="str">
        <f>IF((M28*M$41)=0,"",Tables!K$42)</f>
        <v/>
      </c>
      <c r="N66" s="1122" t="str">
        <f t="shared" si="7"/>
        <v/>
      </c>
    </row>
    <row r="67" spans="1:14" s="346" customFormat="1" hidden="1">
      <c r="A67" s="1662"/>
      <c r="B67" s="352" t="b">
        <f t="shared" ref="B67:C67" si="14">B52</f>
        <v>0</v>
      </c>
      <c r="C67" s="352" t="str">
        <f t="shared" si="14"/>
        <v/>
      </c>
      <c r="D67" s="352"/>
      <c r="E67" s="1120" t="str">
        <f>IF((E29*E$41)=0,"",Tables!C$42)</f>
        <v/>
      </c>
      <c r="F67" s="1120" t="str">
        <f>IF((F29*F$41)=0,"",Tables!D$42)</f>
        <v/>
      </c>
      <c r="G67" s="1120" t="str">
        <f>IF((G29*G$41)=0,"",Tables!E$42)</f>
        <v/>
      </c>
      <c r="H67" s="1120" t="str">
        <f>IF((H29*H$41)=0,"",Tables!F$42)</f>
        <v/>
      </c>
      <c r="I67" s="1120" t="str">
        <f>IF((I29*I$41)=0,"",Tables!G$42)</f>
        <v/>
      </c>
      <c r="J67" s="1120" t="str">
        <f>IF((J29*J$41)=0,"",Tables!H$42)</f>
        <v/>
      </c>
      <c r="K67" s="1120" t="str">
        <f>IF((K29*K$41)=0,"",Tables!I$42)</f>
        <v/>
      </c>
      <c r="L67" s="1120" t="str">
        <f>IF((L29*L$41)=0,"",Tables!J$42)</f>
        <v/>
      </c>
      <c r="M67" s="1121" t="str">
        <f>IF((M29*M$41)=0,"",Tables!K$42)</f>
        <v/>
      </c>
      <c r="N67" s="1122" t="str">
        <f t="shared" si="7"/>
        <v/>
      </c>
    </row>
    <row r="68" spans="1:14" s="346" customFormat="1" hidden="1">
      <c r="A68" s="1662"/>
      <c r="B68" s="352" t="b">
        <f t="shared" ref="B68:C68" si="15">B53</f>
        <v>0</v>
      </c>
      <c r="C68" s="352" t="str">
        <f t="shared" si="15"/>
        <v/>
      </c>
      <c r="D68" s="352"/>
      <c r="E68" s="1120" t="str">
        <f>IF((E30*E$41)=0,"",Tables!C$42)</f>
        <v/>
      </c>
      <c r="F68" s="1120" t="str">
        <f>IF((F30*F$41)=0,"",Tables!D$42)</f>
        <v/>
      </c>
      <c r="G68" s="1120" t="str">
        <f>IF((G30*G$41)=0,"",Tables!E$42)</f>
        <v/>
      </c>
      <c r="H68" s="1120" t="str">
        <f>IF((H30*H$41)=0,"",Tables!F$42)</f>
        <v/>
      </c>
      <c r="I68" s="1120" t="str">
        <f>IF((I30*I$41)=0,"",Tables!G$42)</f>
        <v/>
      </c>
      <c r="J68" s="1120" t="str">
        <f>IF((J30*J$41)=0,"",Tables!H$42)</f>
        <v/>
      </c>
      <c r="K68" s="1120" t="str">
        <f>IF((K30*K$41)=0,"",Tables!I$42)</f>
        <v/>
      </c>
      <c r="L68" s="1120" t="str">
        <f>IF((L30*L$41)=0,"",Tables!J$42)</f>
        <v/>
      </c>
      <c r="M68" s="1121" t="str">
        <f>IF((M30*M$41)=0,"",Tables!K$42)</f>
        <v/>
      </c>
      <c r="N68" s="1122" t="str">
        <f t="shared" si="7"/>
        <v/>
      </c>
    </row>
    <row r="69" spans="1:14" s="346" customFormat="1" hidden="1">
      <c r="A69" s="1662"/>
      <c r="B69" s="352" t="b">
        <f t="shared" ref="B69:C69" si="16">B54</f>
        <v>0</v>
      </c>
      <c r="C69" s="352" t="str">
        <f t="shared" si="16"/>
        <v/>
      </c>
      <c r="D69" s="352"/>
      <c r="E69" s="1120" t="str">
        <f>IF((E31*E$41)=0,"",Tables!C$42)</f>
        <v/>
      </c>
      <c r="F69" s="1120" t="str">
        <f>IF((F31*F$41)=0,"",Tables!D$42)</f>
        <v/>
      </c>
      <c r="G69" s="1120" t="str">
        <f>IF((G31*G$41)=0,"",Tables!E$42)</f>
        <v/>
      </c>
      <c r="H69" s="1120" t="str">
        <f>IF((H31*H$41)=0,"",Tables!F$42)</f>
        <v/>
      </c>
      <c r="I69" s="1120" t="str">
        <f>IF((I31*I$41)=0,"",Tables!G$42)</f>
        <v/>
      </c>
      <c r="J69" s="1120" t="str">
        <f>IF((J31*J$41)=0,"",Tables!H$42)</f>
        <v/>
      </c>
      <c r="K69" s="1120" t="str">
        <f>IF((K31*K$41)=0,"",Tables!I$42)</f>
        <v/>
      </c>
      <c r="L69" s="1120" t="str">
        <f>IF((L31*L$41)=0,"",Tables!J$42)</f>
        <v/>
      </c>
      <c r="M69" s="1121" t="str">
        <f>IF((M31*M$41)=0,"",Tables!K$42)</f>
        <v/>
      </c>
      <c r="N69" s="1122" t="str">
        <f t="shared" si="7"/>
        <v/>
      </c>
    </row>
    <row r="70" spans="1:14" s="346" customFormat="1" hidden="1">
      <c r="A70" s="1662"/>
      <c r="B70" s="352" t="b">
        <f t="shared" ref="B70:C70" si="17">B55</f>
        <v>0</v>
      </c>
      <c r="C70" s="352" t="str">
        <f t="shared" si="17"/>
        <v/>
      </c>
      <c r="D70" s="352"/>
      <c r="E70" s="1120" t="str">
        <f>IF((E32*E$41)=0,"",Tables!C$42)</f>
        <v/>
      </c>
      <c r="F70" s="1120" t="str">
        <f>IF((F32*F$41)=0,"",Tables!D$42)</f>
        <v/>
      </c>
      <c r="G70" s="1120" t="str">
        <f>IF((G32*G$41)=0,"",Tables!E$42)</f>
        <v/>
      </c>
      <c r="H70" s="1120" t="str">
        <f>IF((H32*H$41)=0,"",Tables!F$42)</f>
        <v/>
      </c>
      <c r="I70" s="1120" t="str">
        <f>IF((I32*I$41)=0,"",Tables!G$42)</f>
        <v/>
      </c>
      <c r="J70" s="1120" t="str">
        <f>IF((J32*J$41)=0,"",Tables!H$42)</f>
        <v/>
      </c>
      <c r="K70" s="1120" t="str">
        <f>IF((K32*K$41)=0,"",Tables!I$42)</f>
        <v/>
      </c>
      <c r="L70" s="1120" t="str">
        <f>IF((L32*L$41)=0,"",Tables!J$42)</f>
        <v/>
      </c>
      <c r="M70" s="1121" t="str">
        <f>IF((M32*M$41)=0,"",Tables!K$42)</f>
        <v/>
      </c>
      <c r="N70" s="1122" t="str">
        <f t="shared" si="7"/>
        <v/>
      </c>
    </row>
    <row r="71" spans="1:14" s="346" customFormat="1" hidden="1">
      <c r="A71" s="1662"/>
      <c r="B71" s="352" t="b">
        <f t="shared" ref="B71:C71" si="18">B56</f>
        <v>0</v>
      </c>
      <c r="C71" s="352" t="str">
        <f t="shared" si="18"/>
        <v/>
      </c>
      <c r="D71" s="352"/>
      <c r="E71" s="1120" t="str">
        <f>IF((E33*E$41)=0,"",Tables!C$42)</f>
        <v/>
      </c>
      <c r="F71" s="1120" t="str">
        <f>IF((F33*F$41)=0,"",Tables!D$42)</f>
        <v/>
      </c>
      <c r="G71" s="1120" t="str">
        <f>IF((G33*G$41)=0,"",Tables!E$42)</f>
        <v/>
      </c>
      <c r="H71" s="1120" t="str">
        <f>IF((H33*H$41)=0,"",Tables!F$42)</f>
        <v/>
      </c>
      <c r="I71" s="1120" t="str">
        <f>IF((I33*I$41)=0,"",Tables!G$42)</f>
        <v/>
      </c>
      <c r="J71" s="1120" t="str">
        <f>IF((J33*J$41)=0,"",Tables!H$42)</f>
        <v/>
      </c>
      <c r="K71" s="1120" t="str">
        <f>IF((K33*K$41)=0,"",Tables!I$42)</f>
        <v/>
      </c>
      <c r="L71" s="1120" t="str">
        <f>IF((L33*L$41)=0,"",Tables!J$42)</f>
        <v/>
      </c>
      <c r="M71" s="1121" t="str">
        <f>IF((M33*M$41)=0,"",Tables!K$42)</f>
        <v/>
      </c>
      <c r="N71" s="1122" t="str">
        <f t="shared" si="7"/>
        <v/>
      </c>
    </row>
    <row r="72" spans="1:14" s="346" customFormat="1" hidden="1">
      <c r="A72" s="1662"/>
      <c r="B72" s="352" t="b">
        <f t="shared" ref="B72:C72" si="19">B57</f>
        <v>0</v>
      </c>
      <c r="C72" s="352" t="str">
        <f t="shared" si="19"/>
        <v/>
      </c>
      <c r="D72" s="352"/>
      <c r="E72" s="1120" t="str">
        <f>IF((E34*E$41)=0,"",Tables!C$42)</f>
        <v/>
      </c>
      <c r="F72" s="1120" t="str">
        <f>IF((F34*F$41)=0,"",Tables!D$42)</f>
        <v/>
      </c>
      <c r="G72" s="1120" t="str">
        <f>IF((G34*G$41)=0,"",Tables!E$42)</f>
        <v/>
      </c>
      <c r="H72" s="1120" t="str">
        <f>IF((H34*H$41)=0,"",Tables!F$42)</f>
        <v/>
      </c>
      <c r="I72" s="1120" t="str">
        <f>IF((I34*I$41)=0,"",Tables!G$42)</f>
        <v/>
      </c>
      <c r="J72" s="1120" t="str">
        <f>IF((J34*J$41)=0,"",Tables!H$42)</f>
        <v/>
      </c>
      <c r="K72" s="1120" t="str">
        <f>IF((K34*K$41)=0,"",Tables!I$42)</f>
        <v/>
      </c>
      <c r="L72" s="1120" t="str">
        <f>IF((L34*L$41)=0,"",Tables!J$42)</f>
        <v/>
      </c>
      <c r="M72" s="1121" t="str">
        <f>IF((M34*M$41)=0,"",Tables!K$42)</f>
        <v/>
      </c>
      <c r="N72" s="1122" t="str">
        <f t="shared" si="7"/>
        <v/>
      </c>
    </row>
    <row r="73" spans="1:14" s="346" customFormat="1" ht="15" hidden="1" thickBot="1">
      <c r="A73" s="1663"/>
      <c r="B73" s="1131" t="b">
        <f t="shared" ref="B73:C73" si="20">B58</f>
        <v>0</v>
      </c>
      <c r="C73" s="1131" t="str">
        <f t="shared" si="20"/>
        <v/>
      </c>
      <c r="D73" s="1131"/>
      <c r="E73" s="1132" t="str">
        <f>IF((E35*E$41)=0,"",Tables!C$42)</f>
        <v/>
      </c>
      <c r="F73" s="1132" t="str">
        <f>IF((F35*F$41)=0,"",Tables!D$42)</f>
        <v/>
      </c>
      <c r="G73" s="1132" t="str">
        <f>IF((G35*G$41)=0,"",Tables!E$42)</f>
        <v/>
      </c>
      <c r="H73" s="1132" t="str">
        <f>IF((H35*H$41)=0,"",Tables!F$42)</f>
        <v/>
      </c>
      <c r="I73" s="1132" t="str">
        <f>IF((I35*I$41)=0,"",Tables!G$42)</f>
        <v/>
      </c>
      <c r="J73" s="1132" t="str">
        <f>IF((J35*J$41)=0,"",Tables!H$42)</f>
        <v/>
      </c>
      <c r="K73" s="1132" t="str">
        <f>IF((K35*K$41)=0,"",Tables!I$42)</f>
        <v/>
      </c>
      <c r="L73" s="1132" t="str">
        <f>IF((L35*L$41)=0,"",Tables!J$42)</f>
        <v/>
      </c>
      <c r="M73" s="1133" t="str">
        <f>IF((M35*M$41)=0,"",Tables!K$42)</f>
        <v/>
      </c>
      <c r="N73" s="1126" t="str">
        <f t="shared" si="7"/>
        <v/>
      </c>
    </row>
    <row r="74" spans="1:14" s="346" customFormat="1" hidden="1">
      <c r="A74" s="1661" t="s">
        <v>509</v>
      </c>
      <c r="B74" s="1117" t="b">
        <f>B59</f>
        <v>0</v>
      </c>
      <c r="C74" s="1117" t="str">
        <f t="shared" ref="C74" si="21">C59</f>
        <v/>
      </c>
      <c r="D74" s="1117"/>
      <c r="E74" s="1118" t="str">
        <f>IF((E21*E$41)=0,"",Tables!C$40)</f>
        <v/>
      </c>
      <c r="F74" s="1118" t="str">
        <f>IF((F21*F$41)=0,"",Tables!D$40)</f>
        <v/>
      </c>
      <c r="G74" s="1118" t="str">
        <f>IF((G21*G$41)=0,"",Tables!E$40)</f>
        <v/>
      </c>
      <c r="H74" s="1118" t="str">
        <f>IF((H21*H$41)=0,"",Tables!F$40)</f>
        <v/>
      </c>
      <c r="I74" s="1118" t="str">
        <f>IF((I21*I$41)=0,"",Tables!G$40)</f>
        <v/>
      </c>
      <c r="J74" s="1118" t="str">
        <f>IF((J21*J$41)=0,"",Tables!H$40)</f>
        <v/>
      </c>
      <c r="K74" s="1118" t="str">
        <f>IF((K21*K$41)=0,"",Tables!I$40)</f>
        <v/>
      </c>
      <c r="L74" s="1118" t="str">
        <f>IF((L21*L$41)=0,"",Tables!J$40)</f>
        <v/>
      </c>
      <c r="M74" s="1119" t="str">
        <f>IF((M21*M$41)=0,"",Tables!K$40)</f>
        <v/>
      </c>
      <c r="N74" s="1130" t="str">
        <f>IF(B44=TRUE,"Implemented SOO:"&amp;E74&amp;F74&amp;G74&amp;H74&amp;I74&amp;J74&amp;K74&amp;L74&amp;M74,"")</f>
        <v/>
      </c>
    </row>
    <row r="75" spans="1:14" s="346" customFormat="1" hidden="1">
      <c r="A75" s="1662"/>
      <c r="B75" s="352" t="b">
        <f t="shared" ref="B75:C75" si="22">B60</f>
        <v>0</v>
      </c>
      <c r="C75" s="352" t="str">
        <f t="shared" si="22"/>
        <v/>
      </c>
      <c r="D75" s="352"/>
      <c r="E75" s="1120" t="str">
        <f>IF((E22*E$41)=0,"",Tables!C$40)</f>
        <v/>
      </c>
      <c r="F75" s="1120" t="str">
        <f>IF((F22*F$41)=0,"",Tables!D$40)</f>
        <v/>
      </c>
      <c r="G75" s="1120" t="str">
        <f>IF((G22*G$41)=0,"",Tables!E$40)</f>
        <v/>
      </c>
      <c r="H75" s="1120" t="str">
        <f>IF((H22*H$41)=0,"",Tables!F$40)</f>
        <v/>
      </c>
      <c r="I75" s="1120" t="str">
        <f>IF((I22*I$41)=0,"",Tables!G$40)</f>
        <v/>
      </c>
      <c r="J75" s="1120" t="str">
        <f>IF((J22*J$41)=0,"",Tables!H$40)</f>
        <v/>
      </c>
      <c r="K75" s="1120" t="str">
        <f>IF((K22*K$41)=0,"",Tables!I$40)</f>
        <v/>
      </c>
      <c r="L75" s="1120" t="str">
        <f>IF((L22*L$41)=0,"",Tables!J$40)</f>
        <v/>
      </c>
      <c r="M75" s="1121" t="str">
        <f>IF((M22*M$41)=0,"",Tables!K$40)</f>
        <v/>
      </c>
      <c r="N75" s="1122" t="str">
        <f t="shared" ref="N75:N88" si="23">IF(B45=TRUE,"Implemented SOO:"&amp;E75&amp;F75&amp;G75&amp;H75&amp;I75&amp;J75&amp;K75&amp;L75&amp;M75,"")</f>
        <v/>
      </c>
    </row>
    <row r="76" spans="1:14" s="346" customFormat="1" hidden="1">
      <c r="A76" s="1662"/>
      <c r="B76" s="352" t="b">
        <f t="shared" ref="B76:C76" si="24">B61</f>
        <v>0</v>
      </c>
      <c r="C76" s="352" t="str">
        <f t="shared" si="24"/>
        <v/>
      </c>
      <c r="D76" s="352"/>
      <c r="E76" s="1120" t="str">
        <f>IF((E23*E$41)=0,"",Tables!C$40)</f>
        <v/>
      </c>
      <c r="F76" s="1120" t="str">
        <f>IF((F23*F$41)=0,"",Tables!D$40)</f>
        <v/>
      </c>
      <c r="G76" s="1120" t="str">
        <f>IF((G23*G$41)=0,"",Tables!E$40)</f>
        <v/>
      </c>
      <c r="H76" s="1120" t="str">
        <f>IF((H23*H$41)=0,"",Tables!F$40)</f>
        <v/>
      </c>
      <c r="I76" s="1120" t="str">
        <f>IF((I23*I$41)=0,"",Tables!G$40)</f>
        <v/>
      </c>
      <c r="J76" s="1120" t="str">
        <f>IF((J23*J$41)=0,"",Tables!H$40)</f>
        <v/>
      </c>
      <c r="K76" s="1120" t="str">
        <f>IF((K23*K$41)=0,"",Tables!I$40)</f>
        <v/>
      </c>
      <c r="L76" s="1120" t="str">
        <f>IF((L23*L$41)=0,"",Tables!J$40)</f>
        <v/>
      </c>
      <c r="M76" s="1121" t="str">
        <f>IF((M23*M$41)=0,"",Tables!K$40)</f>
        <v/>
      </c>
      <c r="N76" s="1122" t="str">
        <f t="shared" si="23"/>
        <v/>
      </c>
    </row>
    <row r="77" spans="1:14" s="346" customFormat="1" hidden="1">
      <c r="A77" s="1662"/>
      <c r="B77" s="352" t="b">
        <f t="shared" ref="B77:C77" si="25">B62</f>
        <v>0</v>
      </c>
      <c r="C77" s="352" t="str">
        <f t="shared" si="25"/>
        <v/>
      </c>
      <c r="D77" s="352"/>
      <c r="E77" s="1120" t="str">
        <f>IF((E24*E$41)=0,"",Tables!C$40)</f>
        <v/>
      </c>
      <c r="F77" s="1120" t="str">
        <f>IF((F24*F$41)=0,"",Tables!D$40)</f>
        <v/>
      </c>
      <c r="G77" s="1120" t="str">
        <f>IF((G24*G$41)=0,"",Tables!E$40)</f>
        <v/>
      </c>
      <c r="H77" s="1120" t="str">
        <f>IF((H24*H$41)=0,"",Tables!F$40)</f>
        <v/>
      </c>
      <c r="I77" s="1120" t="str">
        <f>IF((I24*I$41)=0,"",Tables!G$40)</f>
        <v/>
      </c>
      <c r="J77" s="1120" t="str">
        <f>IF((J24*J$41)=0,"",Tables!H$40)</f>
        <v/>
      </c>
      <c r="K77" s="1120" t="str">
        <f>IF((K24*K$41)=0,"",Tables!I$40)</f>
        <v/>
      </c>
      <c r="L77" s="1120" t="str">
        <f>IF((L24*L$41)=0,"",Tables!J$40)</f>
        <v/>
      </c>
      <c r="M77" s="1121" t="str">
        <f>IF((M24*M$41)=0,"",Tables!K$40)</f>
        <v/>
      </c>
      <c r="N77" s="1122" t="str">
        <f t="shared" si="23"/>
        <v/>
      </c>
    </row>
    <row r="78" spans="1:14" s="346" customFormat="1" hidden="1">
      <c r="A78" s="1662"/>
      <c r="B78" s="352" t="b">
        <f t="shared" ref="B78:C78" si="26">B63</f>
        <v>0</v>
      </c>
      <c r="C78" s="352" t="str">
        <f t="shared" si="26"/>
        <v/>
      </c>
      <c r="D78" s="352"/>
      <c r="E78" s="1120" t="str">
        <f>IF((E25*E$41)=0,"",Tables!C$40)</f>
        <v/>
      </c>
      <c r="F78" s="1120" t="str">
        <f>IF((F25*F$41)=0,"",Tables!D$40)</f>
        <v/>
      </c>
      <c r="G78" s="1120" t="str">
        <f>IF((G25*G$41)=0,"",Tables!E$40)</f>
        <v/>
      </c>
      <c r="H78" s="1120" t="str">
        <f>IF((H25*H$41)=0,"",Tables!F$40)</f>
        <v/>
      </c>
      <c r="I78" s="1120" t="str">
        <f>IF((I25*I$41)=0,"",Tables!G$40)</f>
        <v/>
      </c>
      <c r="J78" s="1120" t="str">
        <f>IF((J25*J$41)=0,"",Tables!H$40)</f>
        <v/>
      </c>
      <c r="K78" s="1120" t="str">
        <f>IF((K25*K$41)=0,"",Tables!I$40)</f>
        <v/>
      </c>
      <c r="L78" s="1120" t="str">
        <f>IF((L25*L$41)=0,"",Tables!J$40)</f>
        <v/>
      </c>
      <c r="M78" s="1121" t="str">
        <f>IF((M25*M$41)=0,"",Tables!K$40)</f>
        <v/>
      </c>
      <c r="N78" s="1122" t="str">
        <f t="shared" si="23"/>
        <v/>
      </c>
    </row>
    <row r="79" spans="1:14" s="346" customFormat="1" hidden="1">
      <c r="A79" s="1662"/>
      <c r="B79" s="352" t="b">
        <f t="shared" ref="B79:C79" si="27">B64</f>
        <v>0</v>
      </c>
      <c r="C79" s="352" t="str">
        <f t="shared" si="27"/>
        <v/>
      </c>
      <c r="D79" s="352"/>
      <c r="E79" s="1120" t="str">
        <f>IF((E26*E$41)=0,"",Tables!C$40)</f>
        <v/>
      </c>
      <c r="F79" s="1120" t="str">
        <f>IF((F26*F$41)=0,"",Tables!D$40)</f>
        <v/>
      </c>
      <c r="G79" s="1120" t="str">
        <f>IF((G26*G$41)=0,"",Tables!E$40)</f>
        <v/>
      </c>
      <c r="H79" s="1120" t="str">
        <f>IF((H26*H$41)=0,"",Tables!F$40)</f>
        <v/>
      </c>
      <c r="I79" s="1120" t="str">
        <f>IF((I26*I$41)=0,"",Tables!G$40)</f>
        <v/>
      </c>
      <c r="J79" s="1120" t="str">
        <f>IF((J26*J$41)=0,"",Tables!H$40)</f>
        <v/>
      </c>
      <c r="K79" s="1120" t="str">
        <f>IF((K26*K$41)=0,"",Tables!I$40)</f>
        <v/>
      </c>
      <c r="L79" s="1120" t="str">
        <f>IF((L26*L$41)=0,"",Tables!J$40)</f>
        <v/>
      </c>
      <c r="M79" s="1121" t="str">
        <f>IF((M26*M$41)=0,"",Tables!K$40)</f>
        <v/>
      </c>
      <c r="N79" s="1122" t="str">
        <f t="shared" si="23"/>
        <v/>
      </c>
    </row>
    <row r="80" spans="1:14" s="346" customFormat="1" hidden="1">
      <c r="A80" s="1662"/>
      <c r="B80" s="352" t="b">
        <f t="shared" ref="B80:C80" si="28">B65</f>
        <v>0</v>
      </c>
      <c r="C80" s="352" t="str">
        <f t="shared" si="28"/>
        <v/>
      </c>
      <c r="D80" s="352"/>
      <c r="E80" s="1120" t="str">
        <f>IF((E27*E$41)=0,"",Tables!C$40)</f>
        <v/>
      </c>
      <c r="F80" s="1120" t="str">
        <f>IF((F27*F$41)=0,"",Tables!D$40)</f>
        <v/>
      </c>
      <c r="G80" s="1120" t="str">
        <f>IF((G27*G$41)=0,"",Tables!E$40)</f>
        <v/>
      </c>
      <c r="H80" s="1120" t="str">
        <f>IF((H27*H$41)=0,"",Tables!F$40)</f>
        <v/>
      </c>
      <c r="I80" s="1120" t="str">
        <f>IF((I27*I$41)=0,"",Tables!G$40)</f>
        <v/>
      </c>
      <c r="J80" s="1120" t="str">
        <f>IF((J27*J$41)=0,"",Tables!H$40)</f>
        <v/>
      </c>
      <c r="K80" s="1120" t="str">
        <f>IF((K27*K$41)=0,"",Tables!I$40)</f>
        <v/>
      </c>
      <c r="L80" s="1120" t="str">
        <f>IF((L27*L$41)=0,"",Tables!J$40)</f>
        <v/>
      </c>
      <c r="M80" s="1121" t="str">
        <f>IF((M27*M$41)=0,"",Tables!K$40)</f>
        <v/>
      </c>
      <c r="N80" s="1122" t="str">
        <f t="shared" si="23"/>
        <v/>
      </c>
    </row>
    <row r="81" spans="1:14" s="346" customFormat="1" hidden="1">
      <c r="A81" s="1662"/>
      <c r="B81" s="352" t="b">
        <f t="shared" ref="B81:C81" si="29">B66</f>
        <v>0</v>
      </c>
      <c r="C81" s="352" t="str">
        <f t="shared" si="29"/>
        <v/>
      </c>
      <c r="D81" s="352"/>
      <c r="E81" s="1120" t="str">
        <f>IF((E28*E$41)=0,"",Tables!C$40)</f>
        <v/>
      </c>
      <c r="F81" s="1120" t="str">
        <f>IF((F28*F$41)=0,"",Tables!D$40)</f>
        <v/>
      </c>
      <c r="G81" s="1120" t="str">
        <f>IF((G28*G$41)=0,"",Tables!E$40)</f>
        <v/>
      </c>
      <c r="H81" s="1120" t="str">
        <f>IF((H28*H$41)=0,"",Tables!F$40)</f>
        <v/>
      </c>
      <c r="I81" s="1120" t="str">
        <f>IF((I28*I$41)=0,"",Tables!G$40)</f>
        <v/>
      </c>
      <c r="J81" s="1120" t="str">
        <f>IF((J28*J$41)=0,"",Tables!H$40)</f>
        <v/>
      </c>
      <c r="K81" s="1120" t="str">
        <f>IF((K28*K$41)=0,"",Tables!I$40)</f>
        <v/>
      </c>
      <c r="L81" s="1120" t="str">
        <f>IF((L28*L$41)=0,"",Tables!J$40)</f>
        <v/>
      </c>
      <c r="M81" s="1121" t="str">
        <f>IF((M28*M$41)=0,"",Tables!K$40)</f>
        <v/>
      </c>
      <c r="N81" s="1122" t="str">
        <f t="shared" si="23"/>
        <v/>
      </c>
    </row>
    <row r="82" spans="1:14" s="346" customFormat="1" hidden="1">
      <c r="A82" s="1662"/>
      <c r="B82" s="352" t="b">
        <f t="shared" ref="B82:C82" si="30">B67</f>
        <v>0</v>
      </c>
      <c r="C82" s="352" t="str">
        <f t="shared" si="30"/>
        <v/>
      </c>
      <c r="D82" s="352"/>
      <c r="E82" s="1120" t="str">
        <f>IF((E29*E$41)=0,"",Tables!C$40)</f>
        <v/>
      </c>
      <c r="F82" s="1120" t="str">
        <f>IF((F29*F$41)=0,"",Tables!D$40)</f>
        <v/>
      </c>
      <c r="G82" s="1120" t="str">
        <f>IF((G29*G$41)=0,"",Tables!E$40)</f>
        <v/>
      </c>
      <c r="H82" s="1120" t="str">
        <f>IF((H29*H$41)=0,"",Tables!F$40)</f>
        <v/>
      </c>
      <c r="I82" s="1120" t="str">
        <f>IF((I29*I$41)=0,"",Tables!G$40)</f>
        <v/>
      </c>
      <c r="J82" s="1120" t="str">
        <f>IF((J29*J$41)=0,"",Tables!H$40)</f>
        <v/>
      </c>
      <c r="K82" s="1120" t="str">
        <f>IF((K29*K$41)=0,"",Tables!I$40)</f>
        <v/>
      </c>
      <c r="L82" s="1120" t="str">
        <f>IF((L29*L$41)=0,"",Tables!J$40)</f>
        <v/>
      </c>
      <c r="M82" s="1121" t="str">
        <f>IF((M29*M$41)=0,"",Tables!K$40)</f>
        <v/>
      </c>
      <c r="N82" s="1122" t="str">
        <f t="shared" si="23"/>
        <v/>
      </c>
    </row>
    <row r="83" spans="1:14" s="346" customFormat="1" hidden="1">
      <c r="A83" s="1662"/>
      <c r="B83" s="352" t="b">
        <f t="shared" ref="B83:C83" si="31">B68</f>
        <v>0</v>
      </c>
      <c r="C83" s="352" t="str">
        <f t="shared" si="31"/>
        <v/>
      </c>
      <c r="D83" s="352"/>
      <c r="E83" s="1120" t="str">
        <f>IF((E30*E$41)=0,"",Tables!C$40)</f>
        <v/>
      </c>
      <c r="F83" s="1120" t="str">
        <f>IF((F30*F$41)=0,"",Tables!D$40)</f>
        <v/>
      </c>
      <c r="G83" s="1120" t="str">
        <f>IF((G30*G$41)=0,"",Tables!E$40)</f>
        <v/>
      </c>
      <c r="H83" s="1120" t="str">
        <f>IF((H30*H$41)=0,"",Tables!F$40)</f>
        <v/>
      </c>
      <c r="I83" s="1120" t="str">
        <f>IF((I30*I$41)=0,"",Tables!G$40)</f>
        <v/>
      </c>
      <c r="J83" s="1120" t="str">
        <f>IF((J30*J$41)=0,"",Tables!H$40)</f>
        <v/>
      </c>
      <c r="K83" s="1120" t="str">
        <f>IF((K30*K$41)=0,"",Tables!I$40)</f>
        <v/>
      </c>
      <c r="L83" s="1120" t="str">
        <f>IF((L30*L$41)=0,"",Tables!J$40)</f>
        <v/>
      </c>
      <c r="M83" s="1121" t="str">
        <f>IF((M30*M$41)=0,"",Tables!K$40)</f>
        <v/>
      </c>
      <c r="N83" s="1122" t="str">
        <f t="shared" si="23"/>
        <v/>
      </c>
    </row>
    <row r="84" spans="1:14" s="346" customFormat="1" hidden="1">
      <c r="A84" s="1662"/>
      <c r="B84" s="352" t="b">
        <f t="shared" ref="B84:C84" si="32">B69</f>
        <v>0</v>
      </c>
      <c r="C84" s="352" t="str">
        <f t="shared" si="32"/>
        <v/>
      </c>
      <c r="D84" s="352"/>
      <c r="E84" s="1120" t="str">
        <f>IF((E31*E$41)=0,"",Tables!C$40)</f>
        <v/>
      </c>
      <c r="F84" s="1120" t="str">
        <f>IF((F31*F$41)=0,"",Tables!D$40)</f>
        <v/>
      </c>
      <c r="G84" s="1120" t="str">
        <f>IF((G31*G$41)=0,"",Tables!E$40)</f>
        <v/>
      </c>
      <c r="H84" s="1120" t="str">
        <f>IF((H31*H$41)=0,"",Tables!F$40)</f>
        <v/>
      </c>
      <c r="I84" s="1120" t="str">
        <f>IF((I31*I$41)=0,"",Tables!G$40)</f>
        <v/>
      </c>
      <c r="J84" s="1120" t="str">
        <f>IF((J31*J$41)=0,"",Tables!H$40)</f>
        <v/>
      </c>
      <c r="K84" s="1120" t="str">
        <f>IF((K31*K$41)=0,"",Tables!I$40)</f>
        <v/>
      </c>
      <c r="L84" s="1120" t="str">
        <f>IF((L31*L$41)=0,"",Tables!J$40)</f>
        <v/>
      </c>
      <c r="M84" s="1121" t="str">
        <f>IF((M31*M$41)=0,"",Tables!K$40)</f>
        <v/>
      </c>
      <c r="N84" s="1122" t="str">
        <f t="shared" si="23"/>
        <v/>
      </c>
    </row>
    <row r="85" spans="1:14" s="346" customFormat="1" hidden="1">
      <c r="A85" s="1662"/>
      <c r="B85" s="352" t="b">
        <f t="shared" ref="B85:C85" si="33">B70</f>
        <v>0</v>
      </c>
      <c r="C85" s="352" t="str">
        <f t="shared" si="33"/>
        <v/>
      </c>
      <c r="D85" s="352"/>
      <c r="E85" s="1120" t="str">
        <f>IF((E32*E$41)=0,"",Tables!C$40)</f>
        <v/>
      </c>
      <c r="F85" s="1120" t="str">
        <f>IF((F32*F$41)=0,"",Tables!D$40)</f>
        <v/>
      </c>
      <c r="G85" s="1120" t="str">
        <f>IF((G32*G$41)=0,"",Tables!E$40)</f>
        <v/>
      </c>
      <c r="H85" s="1120" t="str">
        <f>IF((H32*H$41)=0,"",Tables!F$40)</f>
        <v/>
      </c>
      <c r="I85" s="1120" t="str">
        <f>IF((I32*I$41)=0,"",Tables!G$40)</f>
        <v/>
      </c>
      <c r="J85" s="1120" t="str">
        <f>IF((J32*J$41)=0,"",Tables!H$40)</f>
        <v/>
      </c>
      <c r="K85" s="1120" t="str">
        <f>IF((K32*K$41)=0,"",Tables!I$40)</f>
        <v/>
      </c>
      <c r="L85" s="1120" t="str">
        <f>IF((L32*L$41)=0,"",Tables!J$40)</f>
        <v/>
      </c>
      <c r="M85" s="1121" t="str">
        <f>IF((M32*M$41)=0,"",Tables!K$40)</f>
        <v/>
      </c>
      <c r="N85" s="1122" t="str">
        <f t="shared" si="23"/>
        <v/>
      </c>
    </row>
    <row r="86" spans="1:14" s="346" customFormat="1" hidden="1">
      <c r="A86" s="1662"/>
      <c r="B86" s="352" t="b">
        <f t="shared" ref="B86:C86" si="34">B71</f>
        <v>0</v>
      </c>
      <c r="C86" s="352" t="str">
        <f t="shared" si="34"/>
        <v/>
      </c>
      <c r="D86" s="352"/>
      <c r="E86" s="1120" t="str">
        <f>IF((E33*E$41)=0,"",Tables!C$40)</f>
        <v/>
      </c>
      <c r="F86" s="1120" t="str">
        <f>IF((F33*F$41)=0,"",Tables!D$40)</f>
        <v/>
      </c>
      <c r="G86" s="1120" t="str">
        <f>IF((G33*G$41)=0,"",Tables!E$40)</f>
        <v/>
      </c>
      <c r="H86" s="1120" t="str">
        <f>IF((H33*H$41)=0,"",Tables!F$40)</f>
        <v/>
      </c>
      <c r="I86" s="1120" t="str">
        <f>IF((I33*I$41)=0,"",Tables!G$40)</f>
        <v/>
      </c>
      <c r="J86" s="1120" t="str">
        <f>IF((J33*J$41)=0,"",Tables!H$40)</f>
        <v/>
      </c>
      <c r="K86" s="1120" t="str">
        <f>IF((K33*K$41)=0,"",Tables!I$40)</f>
        <v/>
      </c>
      <c r="L86" s="1120" t="str">
        <f>IF((L33*L$41)=0,"",Tables!J$40)</f>
        <v/>
      </c>
      <c r="M86" s="1121" t="str">
        <f>IF((M33*M$41)=0,"",Tables!K$40)</f>
        <v/>
      </c>
      <c r="N86" s="1122" t="str">
        <f t="shared" si="23"/>
        <v/>
      </c>
    </row>
    <row r="87" spans="1:14" s="346" customFormat="1" hidden="1">
      <c r="A87" s="1662"/>
      <c r="B87" s="352" t="b">
        <f t="shared" ref="B87:C87" si="35">B72</f>
        <v>0</v>
      </c>
      <c r="C87" s="352" t="str">
        <f t="shared" si="35"/>
        <v/>
      </c>
      <c r="D87" s="352"/>
      <c r="E87" s="1120" t="str">
        <f>IF((E34*E$41)=0,"",Tables!C$40)</f>
        <v/>
      </c>
      <c r="F87" s="1120" t="str">
        <f>IF((F34*F$41)=0,"",Tables!D$40)</f>
        <v/>
      </c>
      <c r="G87" s="1120" t="str">
        <f>IF((G34*G$41)=0,"",Tables!E$40)</f>
        <v/>
      </c>
      <c r="H87" s="1120" t="str">
        <f>IF((H34*H$41)=0,"",Tables!F$40)</f>
        <v/>
      </c>
      <c r="I87" s="1120" t="str">
        <f>IF((I34*I$41)=0,"",Tables!G$40)</f>
        <v/>
      </c>
      <c r="J87" s="1120" t="str">
        <f>IF((J34*J$41)=0,"",Tables!H$40)</f>
        <v/>
      </c>
      <c r="K87" s="1120" t="str">
        <f>IF((K34*K$41)=0,"",Tables!I$40)</f>
        <v/>
      </c>
      <c r="L87" s="1120" t="str">
        <f>IF((L34*L$41)=0,"",Tables!J$40)</f>
        <v/>
      </c>
      <c r="M87" s="1121" t="str">
        <f>IF((M34*M$41)=0,"",Tables!K$40)</f>
        <v/>
      </c>
      <c r="N87" s="1122" t="str">
        <f t="shared" si="23"/>
        <v/>
      </c>
    </row>
    <row r="88" spans="1:14" s="346" customFormat="1" ht="15" hidden="1" thickBot="1">
      <c r="A88" s="1663"/>
      <c r="B88" s="1123" t="b">
        <f t="shared" ref="B88:C88" si="36">B73</f>
        <v>0</v>
      </c>
      <c r="C88" s="1123" t="str">
        <f t="shared" si="36"/>
        <v/>
      </c>
      <c r="D88" s="1123"/>
      <c r="E88" s="1124" t="str">
        <f>IF((E35*E$41)=0,"",Tables!C$40)</f>
        <v/>
      </c>
      <c r="F88" s="1124" t="str">
        <f>IF((F35*F$41)=0,"",Tables!D$40)</f>
        <v/>
      </c>
      <c r="G88" s="1124" t="str">
        <f>IF((G35*G$41)=0,"",Tables!E$40)</f>
        <v/>
      </c>
      <c r="H88" s="1124" t="str">
        <f>IF((H35*H$41)=0,"",Tables!F$40)</f>
        <v/>
      </c>
      <c r="I88" s="1124" t="str">
        <f>IF((I35*I$41)=0,"",Tables!G$40)</f>
        <v/>
      </c>
      <c r="J88" s="1124" t="str">
        <f>IF((J35*J$41)=0,"",Tables!H$40)</f>
        <v/>
      </c>
      <c r="K88" s="1124" t="str">
        <f>IF((K35*K$41)=0,"",Tables!I$40)</f>
        <v/>
      </c>
      <c r="L88" s="1124" t="str">
        <f>IF((L35*L$41)=0,"",Tables!J$40)</f>
        <v/>
      </c>
      <c r="M88" s="1125" t="str">
        <f>IF((M35*M$41)=0,"",Tables!K$40)</f>
        <v/>
      </c>
      <c r="N88" s="1126" t="str">
        <f t="shared" si="23"/>
        <v/>
      </c>
    </row>
    <row r="89" spans="1:14" s="346" customFormat="1" hidden="1"/>
    <row r="90" spans="1:14" s="346" customFormat="1" hidden="1"/>
    <row r="91" spans="1:14" s="346" customFormat="1" hidden="1"/>
    <row r="92" spans="1:14">
      <c r="B92" s="147"/>
      <c r="C92" s="147"/>
      <c r="D92" s="147"/>
      <c r="E92" s="147"/>
      <c r="F92" s="147"/>
      <c r="G92" s="147"/>
      <c r="H92" s="147"/>
      <c r="I92" s="147"/>
      <c r="J92" s="147"/>
      <c r="K92" s="147"/>
      <c r="L92" s="147"/>
      <c r="M92" s="147"/>
      <c r="N92" s="147"/>
    </row>
    <row r="93" spans="1:14">
      <c r="B93" s="147"/>
      <c r="C93" s="147"/>
      <c r="D93" s="147"/>
      <c r="E93" s="147"/>
      <c r="F93" s="147"/>
      <c r="G93" s="147"/>
      <c r="H93" s="147"/>
      <c r="I93" s="147"/>
      <c r="J93" s="147"/>
      <c r="K93" s="147"/>
      <c r="L93" s="147"/>
      <c r="M93" s="147"/>
      <c r="N93" s="147"/>
    </row>
    <row r="94" spans="1:14">
      <c r="B94" s="147"/>
      <c r="C94" s="147"/>
      <c r="D94" s="147"/>
      <c r="E94" s="147"/>
      <c r="F94" s="147"/>
      <c r="G94" s="147"/>
      <c r="H94" s="147"/>
      <c r="I94" s="147"/>
      <c r="J94" s="147"/>
      <c r="K94" s="147"/>
      <c r="L94" s="147"/>
      <c r="M94" s="147"/>
      <c r="N94" s="147"/>
    </row>
    <row r="95" spans="1:14">
      <c r="B95" s="147"/>
      <c r="C95" s="147"/>
      <c r="D95" s="147"/>
      <c r="E95" s="147"/>
      <c r="F95" s="147"/>
      <c r="G95" s="147"/>
      <c r="H95" s="147"/>
      <c r="I95" s="147"/>
      <c r="J95" s="147"/>
      <c r="K95" s="147"/>
      <c r="L95" s="147"/>
      <c r="M95" s="147"/>
      <c r="N95" s="147"/>
    </row>
    <row r="96" spans="1:14">
      <c r="B96" s="147"/>
      <c r="C96" s="147"/>
      <c r="D96" s="147"/>
      <c r="E96" s="147"/>
      <c r="F96" s="147"/>
      <c r="G96" s="147"/>
      <c r="H96" s="147"/>
      <c r="I96" s="147"/>
      <c r="J96" s="147"/>
      <c r="K96" s="147"/>
      <c r="L96" s="147"/>
      <c r="M96" s="147"/>
      <c r="N96" s="147"/>
    </row>
    <row r="97" spans="2:14">
      <c r="B97" s="147"/>
      <c r="C97" s="147"/>
      <c r="D97" s="147"/>
      <c r="E97" s="147"/>
      <c r="F97" s="147"/>
      <c r="G97" s="147"/>
      <c r="H97" s="147"/>
      <c r="I97" s="147"/>
      <c r="J97" s="147"/>
      <c r="K97" s="147"/>
      <c r="L97" s="147"/>
      <c r="M97" s="147"/>
      <c r="N97" s="147"/>
    </row>
    <row r="98" spans="2:14">
      <c r="B98" s="147"/>
      <c r="C98" s="147"/>
      <c r="D98" s="147"/>
      <c r="E98" s="147"/>
      <c r="F98" s="147"/>
      <c r="G98" s="147"/>
      <c r="H98" s="147"/>
      <c r="I98" s="147"/>
      <c r="J98" s="147"/>
      <c r="K98" s="147"/>
      <c r="L98" s="147"/>
      <c r="M98" s="147"/>
      <c r="N98" s="147"/>
    </row>
    <row r="99" spans="2:14">
      <c r="B99" s="147"/>
      <c r="C99" s="147"/>
      <c r="D99" s="147"/>
      <c r="E99" s="147"/>
      <c r="F99" s="147"/>
      <c r="G99" s="147"/>
      <c r="H99" s="147"/>
      <c r="I99" s="147"/>
      <c r="J99" s="147"/>
      <c r="K99" s="147"/>
      <c r="L99" s="147"/>
      <c r="M99" s="147"/>
      <c r="N99" s="147"/>
    </row>
    <row r="100" spans="2:14">
      <c r="B100" s="147"/>
      <c r="C100" s="147"/>
      <c r="D100" s="147"/>
      <c r="E100" s="147"/>
      <c r="F100" s="147"/>
      <c r="G100" s="147"/>
      <c r="H100" s="147"/>
      <c r="I100" s="147"/>
      <c r="J100" s="147"/>
      <c r="K100" s="147"/>
      <c r="L100" s="147"/>
      <c r="M100" s="147"/>
      <c r="N100" s="147"/>
    </row>
    <row r="101" spans="2:14">
      <c r="B101" s="147"/>
      <c r="C101" s="147"/>
      <c r="D101" s="147"/>
      <c r="E101" s="147"/>
      <c r="F101" s="147"/>
      <c r="G101" s="147"/>
      <c r="H101" s="147"/>
      <c r="I101" s="147"/>
      <c r="J101" s="147"/>
      <c r="K101" s="147"/>
      <c r="L101" s="147"/>
      <c r="M101" s="147"/>
      <c r="N101" s="147"/>
    </row>
    <row r="102" spans="2:14">
      <c r="B102" s="147"/>
      <c r="C102" s="147"/>
      <c r="D102" s="147"/>
      <c r="E102" s="147"/>
      <c r="F102" s="147"/>
      <c r="G102" s="147"/>
      <c r="H102" s="147"/>
      <c r="I102" s="147"/>
      <c r="J102" s="147"/>
      <c r="K102" s="147"/>
      <c r="L102" s="147"/>
      <c r="M102" s="147"/>
      <c r="N102" s="147"/>
    </row>
    <row r="103" spans="2:14">
      <c r="B103" s="147"/>
      <c r="C103" s="147"/>
      <c r="D103" s="147"/>
      <c r="E103" s="147"/>
      <c r="F103" s="147"/>
      <c r="G103" s="147"/>
      <c r="H103" s="147"/>
      <c r="I103" s="147"/>
      <c r="J103" s="147"/>
      <c r="K103" s="147"/>
      <c r="L103" s="147"/>
      <c r="M103" s="147"/>
      <c r="N103" s="147"/>
    </row>
    <row r="104" spans="2:14">
      <c r="B104" s="147"/>
      <c r="C104" s="147"/>
      <c r="D104" s="147"/>
      <c r="E104" s="147"/>
      <c r="F104" s="147"/>
      <c r="G104" s="147"/>
      <c r="H104" s="147"/>
      <c r="I104" s="147"/>
      <c r="J104" s="147"/>
      <c r="K104" s="147"/>
      <c r="L104" s="147"/>
      <c r="M104" s="147"/>
      <c r="N104" s="147"/>
    </row>
    <row r="105" spans="2:14">
      <c r="B105" s="147"/>
      <c r="C105" s="147"/>
      <c r="D105" s="147"/>
      <c r="E105" s="147"/>
      <c r="F105" s="147"/>
      <c r="G105" s="147"/>
      <c r="H105" s="147"/>
      <c r="I105" s="147"/>
      <c r="J105" s="147"/>
      <c r="K105" s="147"/>
      <c r="L105" s="147"/>
      <c r="M105" s="147"/>
      <c r="N105" s="147"/>
    </row>
    <row r="106" spans="2:14">
      <c r="B106" s="147"/>
      <c r="C106" s="147"/>
      <c r="D106" s="147"/>
      <c r="E106" s="147"/>
      <c r="F106" s="147"/>
      <c r="G106" s="147"/>
      <c r="H106" s="147"/>
      <c r="I106" s="147"/>
      <c r="J106" s="147"/>
      <c r="K106" s="147"/>
      <c r="L106" s="147"/>
      <c r="M106" s="147"/>
      <c r="N106" s="147"/>
    </row>
    <row r="107" spans="2:14">
      <c r="B107" s="147"/>
      <c r="C107" s="147"/>
      <c r="D107" s="147"/>
      <c r="E107" s="147"/>
      <c r="F107" s="147"/>
      <c r="G107" s="147"/>
      <c r="H107" s="147"/>
      <c r="I107" s="147"/>
      <c r="J107" s="147"/>
      <c r="K107" s="147"/>
      <c r="L107" s="147"/>
      <c r="M107" s="147"/>
      <c r="N107" s="147"/>
    </row>
    <row r="108" spans="2:14">
      <c r="B108" s="147"/>
      <c r="C108" s="147"/>
      <c r="D108" s="147"/>
      <c r="E108" s="147"/>
      <c r="F108" s="147"/>
      <c r="G108" s="147"/>
      <c r="H108" s="147"/>
      <c r="I108" s="147"/>
      <c r="J108" s="147"/>
      <c r="K108" s="147"/>
      <c r="L108" s="147"/>
      <c r="M108" s="147"/>
      <c r="N108" s="147"/>
    </row>
    <row r="109" spans="2:14">
      <c r="B109" s="147"/>
      <c r="C109" s="147"/>
      <c r="D109" s="147"/>
      <c r="E109" s="147"/>
      <c r="F109" s="147"/>
      <c r="G109" s="147"/>
      <c r="H109" s="147"/>
      <c r="I109" s="147"/>
      <c r="J109" s="147"/>
      <c r="K109" s="147"/>
      <c r="L109" s="147"/>
      <c r="M109" s="147"/>
      <c r="N109" s="147"/>
    </row>
    <row r="110" spans="2:14">
      <c r="B110" s="147"/>
      <c r="C110" s="147"/>
      <c r="D110" s="147"/>
      <c r="E110" s="147"/>
      <c r="F110" s="147"/>
      <c r="G110" s="147"/>
      <c r="H110" s="147"/>
      <c r="I110" s="147"/>
      <c r="J110" s="147"/>
      <c r="K110" s="147"/>
      <c r="L110" s="147"/>
      <c r="M110" s="147"/>
      <c r="N110" s="147"/>
    </row>
    <row r="111" spans="2:14">
      <c r="B111" s="147"/>
      <c r="C111" s="147"/>
      <c r="D111" s="147"/>
      <c r="E111" s="147"/>
      <c r="F111" s="147"/>
      <c r="G111" s="147"/>
      <c r="H111" s="147"/>
      <c r="I111" s="147"/>
      <c r="J111" s="147"/>
      <c r="K111" s="147"/>
      <c r="L111" s="147"/>
      <c r="M111" s="147"/>
      <c r="N111" s="147"/>
    </row>
    <row r="112" spans="2:14">
      <c r="B112" s="147"/>
      <c r="C112" s="147"/>
      <c r="D112" s="147"/>
      <c r="E112" s="147"/>
      <c r="F112" s="147"/>
      <c r="G112" s="147"/>
      <c r="H112" s="147"/>
      <c r="I112" s="147"/>
      <c r="J112" s="147"/>
      <c r="K112" s="147"/>
      <c r="L112" s="147"/>
      <c r="M112" s="147"/>
      <c r="N112" s="147"/>
    </row>
    <row r="113" spans="2:14">
      <c r="B113" s="147"/>
      <c r="C113" s="147"/>
      <c r="D113" s="147"/>
      <c r="E113" s="147"/>
      <c r="F113" s="147"/>
      <c r="G113" s="147"/>
      <c r="H113" s="147"/>
      <c r="I113" s="147"/>
      <c r="J113" s="147"/>
      <c r="K113" s="147"/>
      <c r="L113" s="147"/>
      <c r="M113" s="147"/>
      <c r="N113" s="147"/>
    </row>
    <row r="114" spans="2:14">
      <c r="B114" s="147"/>
      <c r="C114" s="147"/>
      <c r="D114" s="147"/>
      <c r="E114" s="147"/>
      <c r="F114" s="147"/>
      <c r="G114" s="147"/>
      <c r="H114" s="147"/>
      <c r="I114" s="147"/>
      <c r="J114" s="147"/>
      <c r="K114" s="147"/>
      <c r="L114" s="147"/>
      <c r="M114" s="147"/>
      <c r="N114" s="147"/>
    </row>
    <row r="115" spans="2:14">
      <c r="B115" s="147"/>
      <c r="C115" s="147"/>
      <c r="D115" s="147"/>
      <c r="E115" s="147"/>
      <c r="F115" s="147"/>
      <c r="G115" s="147"/>
      <c r="H115" s="147"/>
      <c r="I115" s="147"/>
      <c r="J115" s="147"/>
      <c r="K115" s="147"/>
      <c r="L115" s="147"/>
      <c r="M115" s="147"/>
      <c r="N115" s="147"/>
    </row>
    <row r="116" spans="2:14">
      <c r="B116" s="147"/>
      <c r="C116" s="147"/>
      <c r="D116" s="147"/>
      <c r="E116" s="147"/>
      <c r="F116" s="147"/>
      <c r="G116" s="147"/>
      <c r="H116" s="147"/>
      <c r="I116" s="147"/>
      <c r="J116" s="147"/>
      <c r="K116" s="147"/>
      <c r="L116" s="147"/>
      <c r="M116" s="147"/>
      <c r="N116" s="147"/>
    </row>
    <row r="117" spans="2:14">
      <c r="B117" s="147"/>
      <c r="C117" s="147"/>
      <c r="D117" s="147"/>
      <c r="E117" s="147"/>
      <c r="F117" s="147"/>
      <c r="G117" s="147"/>
      <c r="H117" s="147"/>
      <c r="I117" s="147"/>
      <c r="J117" s="147"/>
      <c r="K117" s="147"/>
      <c r="L117" s="147"/>
      <c r="M117" s="147"/>
      <c r="N117" s="147"/>
    </row>
    <row r="118" spans="2:14">
      <c r="B118" s="147"/>
      <c r="C118" s="147"/>
      <c r="D118" s="147"/>
      <c r="E118" s="147"/>
      <c r="F118" s="147"/>
      <c r="G118" s="147"/>
      <c r="H118" s="147"/>
      <c r="I118" s="147"/>
      <c r="J118" s="147"/>
      <c r="K118" s="147"/>
      <c r="L118" s="147"/>
      <c r="M118" s="147"/>
      <c r="N118" s="147"/>
    </row>
    <row r="119" spans="2:14">
      <c r="B119" s="147"/>
      <c r="C119" s="147"/>
      <c r="D119" s="147"/>
      <c r="E119" s="147"/>
      <c r="F119" s="147"/>
      <c r="G119" s="147"/>
      <c r="H119" s="147"/>
      <c r="I119" s="147"/>
      <c r="J119" s="147"/>
      <c r="K119" s="147"/>
      <c r="L119" s="147"/>
      <c r="M119" s="147"/>
      <c r="N119" s="147"/>
    </row>
    <row r="120" spans="2:14">
      <c r="B120" s="147"/>
      <c r="C120" s="147"/>
      <c r="D120" s="147"/>
      <c r="E120" s="147"/>
      <c r="F120" s="147"/>
      <c r="G120" s="147"/>
      <c r="H120" s="147"/>
      <c r="I120" s="147"/>
      <c r="J120" s="147"/>
      <c r="K120" s="147"/>
      <c r="L120" s="147"/>
      <c r="M120" s="147"/>
      <c r="N120" s="147"/>
    </row>
    <row r="121" spans="2:14">
      <c r="B121" s="147"/>
      <c r="C121" s="147"/>
      <c r="D121" s="147"/>
      <c r="E121" s="147"/>
      <c r="F121" s="147"/>
      <c r="G121" s="147"/>
      <c r="H121" s="147"/>
      <c r="I121" s="147"/>
      <c r="J121" s="147"/>
      <c r="K121" s="147"/>
      <c r="L121" s="147"/>
      <c r="M121" s="147"/>
      <c r="N121" s="147"/>
    </row>
    <row r="122" spans="2:14">
      <c r="B122" s="147"/>
      <c r="C122" s="147"/>
      <c r="D122" s="147"/>
      <c r="E122" s="147"/>
      <c r="F122" s="147"/>
      <c r="G122" s="147"/>
      <c r="H122" s="147"/>
      <c r="I122" s="147"/>
      <c r="J122" s="147"/>
      <c r="K122" s="147"/>
      <c r="L122" s="147"/>
      <c r="M122" s="147"/>
      <c r="N122" s="147"/>
    </row>
    <row r="123" spans="2:14">
      <c r="B123" s="147"/>
      <c r="C123" s="147"/>
      <c r="D123" s="147"/>
      <c r="E123" s="147"/>
      <c r="F123" s="147"/>
      <c r="G123" s="147"/>
      <c r="H123" s="147"/>
      <c r="I123" s="147"/>
      <c r="J123" s="147"/>
      <c r="K123" s="147"/>
      <c r="L123" s="147"/>
      <c r="M123" s="147"/>
      <c r="N123" s="147"/>
    </row>
    <row r="124" spans="2:14">
      <c r="B124" s="147"/>
      <c r="C124" s="147"/>
      <c r="D124" s="147"/>
      <c r="E124" s="147"/>
      <c r="F124" s="147"/>
      <c r="G124" s="147"/>
      <c r="H124" s="147"/>
      <c r="I124" s="147"/>
      <c r="J124" s="147"/>
      <c r="K124" s="147"/>
      <c r="L124" s="147"/>
      <c r="M124" s="147"/>
      <c r="N124" s="147"/>
    </row>
    <row r="125" spans="2:14">
      <c r="B125" s="147"/>
      <c r="C125" s="147"/>
      <c r="D125" s="147"/>
      <c r="E125" s="147"/>
      <c r="F125" s="147"/>
      <c r="G125" s="147"/>
      <c r="H125" s="147"/>
      <c r="I125" s="147"/>
      <c r="J125" s="147"/>
      <c r="K125" s="147"/>
      <c r="L125" s="147"/>
      <c r="M125" s="147"/>
      <c r="N125" s="147"/>
    </row>
    <row r="126" spans="2:14">
      <c r="B126" s="147"/>
      <c r="C126" s="147"/>
      <c r="D126" s="147"/>
      <c r="E126" s="147"/>
      <c r="F126" s="147"/>
      <c r="G126" s="147"/>
      <c r="H126" s="147"/>
      <c r="I126" s="147"/>
      <c r="J126" s="147"/>
      <c r="K126" s="147"/>
      <c r="L126" s="147"/>
      <c r="M126" s="147"/>
      <c r="N126" s="147"/>
    </row>
    <row r="127" spans="2:14">
      <c r="B127" s="147"/>
      <c r="C127" s="147"/>
      <c r="D127" s="147"/>
      <c r="E127" s="147"/>
      <c r="F127" s="147"/>
      <c r="G127" s="147"/>
      <c r="H127" s="147"/>
      <c r="I127" s="147"/>
      <c r="J127" s="147"/>
      <c r="K127" s="147"/>
      <c r="L127" s="147"/>
      <c r="M127" s="147"/>
      <c r="N127" s="147"/>
    </row>
    <row r="128" spans="2:14">
      <c r="B128" s="147"/>
      <c r="C128" s="147"/>
      <c r="D128" s="147"/>
      <c r="E128" s="147"/>
      <c r="F128" s="147"/>
      <c r="G128" s="147"/>
      <c r="H128" s="147"/>
      <c r="I128" s="147"/>
      <c r="J128" s="147"/>
      <c r="K128" s="147"/>
      <c r="L128" s="147"/>
      <c r="M128" s="147"/>
      <c r="N128" s="147"/>
    </row>
    <row r="129" spans="2:14">
      <c r="B129" s="147"/>
      <c r="C129" s="147"/>
      <c r="D129" s="147"/>
      <c r="E129" s="147"/>
      <c r="F129" s="147"/>
      <c r="G129" s="147"/>
      <c r="H129" s="147"/>
      <c r="I129" s="147"/>
      <c r="J129" s="147"/>
      <c r="K129" s="147"/>
      <c r="L129" s="147"/>
      <c r="M129" s="147"/>
      <c r="N129" s="147"/>
    </row>
    <row r="130" spans="2:14">
      <c r="B130" s="147"/>
      <c r="C130" s="147"/>
      <c r="D130" s="147"/>
      <c r="E130" s="147"/>
      <c r="F130" s="147"/>
      <c r="G130" s="147"/>
      <c r="H130" s="147"/>
      <c r="I130" s="147"/>
      <c r="J130" s="147"/>
      <c r="K130" s="147"/>
      <c r="L130" s="147"/>
      <c r="M130" s="147"/>
      <c r="N130" s="147"/>
    </row>
    <row r="131" spans="2:14">
      <c r="B131" s="147"/>
      <c r="C131" s="147"/>
      <c r="D131" s="147"/>
      <c r="E131" s="147"/>
      <c r="F131" s="147"/>
      <c r="G131" s="147"/>
      <c r="H131" s="147"/>
      <c r="I131" s="147"/>
      <c r="J131" s="147"/>
      <c r="K131" s="147"/>
      <c r="L131" s="147"/>
      <c r="M131" s="147"/>
      <c r="N131" s="147"/>
    </row>
    <row r="132" spans="2:14">
      <c r="B132" s="147"/>
      <c r="C132" s="147"/>
      <c r="D132" s="147"/>
      <c r="E132" s="147"/>
      <c r="F132" s="147"/>
      <c r="G132" s="147"/>
      <c r="H132" s="147"/>
      <c r="I132" s="147"/>
      <c r="J132" s="147"/>
      <c r="K132" s="147"/>
      <c r="L132" s="147"/>
      <c r="M132" s="147"/>
      <c r="N132" s="147"/>
    </row>
    <row r="133" spans="2:14">
      <c r="B133" s="147"/>
      <c r="C133" s="147"/>
      <c r="D133" s="147"/>
      <c r="E133" s="147"/>
      <c r="F133" s="147"/>
      <c r="G133" s="147"/>
      <c r="H133" s="147"/>
      <c r="I133" s="147"/>
      <c r="J133" s="147"/>
      <c r="K133" s="147"/>
      <c r="L133" s="147"/>
      <c r="M133" s="147"/>
      <c r="N133" s="147"/>
    </row>
    <row r="134" spans="2:14">
      <c r="B134" s="147"/>
      <c r="C134" s="147"/>
      <c r="D134" s="147"/>
      <c r="E134" s="147"/>
      <c r="F134" s="147"/>
      <c r="G134" s="147"/>
      <c r="H134" s="147"/>
      <c r="I134" s="147"/>
      <c r="J134" s="147"/>
      <c r="K134" s="147"/>
      <c r="L134" s="147"/>
      <c r="M134" s="147"/>
      <c r="N134" s="147"/>
    </row>
    <row r="135" spans="2:14">
      <c r="B135" s="147"/>
      <c r="C135" s="147"/>
      <c r="D135" s="147"/>
      <c r="E135" s="147"/>
      <c r="F135" s="147"/>
      <c r="G135" s="147"/>
      <c r="H135" s="147"/>
      <c r="I135" s="147"/>
      <c r="J135" s="147"/>
      <c r="K135" s="147"/>
      <c r="L135" s="147"/>
      <c r="M135" s="147"/>
      <c r="N135" s="147"/>
    </row>
    <row r="136" spans="2:14">
      <c r="B136" s="147"/>
      <c r="C136" s="147"/>
      <c r="D136" s="147"/>
      <c r="E136" s="147"/>
      <c r="F136" s="147"/>
      <c r="G136" s="147"/>
      <c r="H136" s="147"/>
      <c r="I136" s="147"/>
      <c r="J136" s="147"/>
      <c r="K136" s="147"/>
      <c r="L136" s="147"/>
      <c r="M136" s="147"/>
      <c r="N136" s="147"/>
    </row>
    <row r="137" spans="2:14">
      <c r="B137" s="147"/>
      <c r="C137" s="147"/>
      <c r="D137" s="147"/>
      <c r="E137" s="147"/>
      <c r="F137" s="147"/>
      <c r="G137" s="147"/>
      <c r="H137" s="147"/>
      <c r="I137" s="147"/>
      <c r="J137" s="147"/>
      <c r="K137" s="147"/>
      <c r="L137" s="147"/>
      <c r="M137" s="147"/>
      <c r="N137" s="147"/>
    </row>
    <row r="138" spans="2:14">
      <c r="B138" s="147"/>
      <c r="C138" s="147"/>
      <c r="D138" s="147"/>
      <c r="E138" s="147"/>
      <c r="F138" s="147"/>
      <c r="G138" s="147"/>
      <c r="H138" s="147"/>
      <c r="I138" s="147"/>
      <c r="J138" s="147"/>
      <c r="K138" s="147"/>
      <c r="L138" s="147"/>
      <c r="M138" s="147"/>
      <c r="N138" s="147"/>
    </row>
    <row r="139" spans="2:14">
      <c r="B139" s="147"/>
      <c r="C139" s="147"/>
      <c r="D139" s="147"/>
      <c r="E139" s="147"/>
      <c r="F139" s="147"/>
      <c r="G139" s="147"/>
      <c r="H139" s="147"/>
      <c r="I139" s="147"/>
      <c r="J139" s="147"/>
      <c r="K139" s="147"/>
      <c r="L139" s="147"/>
      <c r="M139" s="147"/>
      <c r="N139" s="147"/>
    </row>
    <row r="140" spans="2:14">
      <c r="B140" s="147"/>
      <c r="C140" s="147"/>
      <c r="D140" s="147"/>
      <c r="E140" s="147"/>
      <c r="F140" s="147"/>
      <c r="G140" s="147"/>
      <c r="H140" s="147"/>
      <c r="I140" s="147"/>
      <c r="J140" s="147"/>
      <c r="K140" s="147"/>
      <c r="L140" s="147"/>
      <c r="M140" s="147"/>
      <c r="N140" s="147"/>
    </row>
    <row r="141" spans="2:14">
      <c r="B141" s="147"/>
      <c r="C141" s="147"/>
      <c r="D141" s="147"/>
      <c r="E141" s="147"/>
      <c r="F141" s="147"/>
      <c r="G141" s="147"/>
      <c r="H141" s="147"/>
      <c r="I141" s="147"/>
      <c r="J141" s="147"/>
      <c r="K141" s="147"/>
      <c r="L141" s="147"/>
      <c r="M141" s="147"/>
      <c r="N141" s="147"/>
    </row>
    <row r="142" spans="2:14">
      <c r="B142" s="147"/>
      <c r="C142" s="147"/>
      <c r="D142" s="147"/>
      <c r="E142" s="147"/>
      <c r="F142" s="147"/>
      <c r="G142" s="147"/>
      <c r="H142" s="147"/>
      <c r="I142" s="147"/>
      <c r="J142" s="147"/>
      <c r="K142" s="147"/>
      <c r="L142" s="147"/>
      <c r="M142" s="147"/>
      <c r="N142" s="147"/>
    </row>
    <row r="143" spans="2:14">
      <c r="B143" s="147"/>
      <c r="C143" s="147"/>
      <c r="D143" s="147"/>
      <c r="E143" s="147"/>
      <c r="F143" s="147"/>
      <c r="G143" s="147"/>
      <c r="H143" s="147"/>
      <c r="I143" s="147"/>
      <c r="J143" s="147"/>
      <c r="K143" s="147"/>
      <c r="L143" s="147"/>
      <c r="M143" s="147"/>
      <c r="N143" s="147"/>
    </row>
    <row r="144" spans="2:14">
      <c r="B144" s="147"/>
      <c r="C144" s="147"/>
      <c r="D144" s="147"/>
      <c r="E144" s="147"/>
      <c r="F144" s="147"/>
      <c r="G144" s="147"/>
      <c r="H144" s="147"/>
      <c r="I144" s="147"/>
      <c r="J144" s="147"/>
      <c r="K144" s="147"/>
      <c r="L144" s="147"/>
      <c r="M144" s="147"/>
      <c r="N144" s="147"/>
    </row>
    <row r="145" spans="2:14">
      <c r="B145" s="147"/>
      <c r="C145" s="147"/>
      <c r="D145" s="147"/>
      <c r="E145" s="147"/>
      <c r="F145" s="147"/>
      <c r="G145" s="147"/>
      <c r="H145" s="147"/>
      <c r="I145" s="147"/>
      <c r="J145" s="147"/>
      <c r="K145" s="147"/>
      <c r="L145" s="147"/>
      <c r="M145" s="147"/>
      <c r="N145" s="147"/>
    </row>
    <row r="146" spans="2:14">
      <c r="B146" s="147"/>
      <c r="C146" s="147"/>
      <c r="D146" s="147"/>
      <c r="E146" s="147"/>
      <c r="F146" s="147"/>
      <c r="G146" s="147"/>
      <c r="H146" s="147"/>
      <c r="I146" s="147"/>
      <c r="J146" s="147"/>
      <c r="K146" s="147"/>
      <c r="L146" s="147"/>
      <c r="M146" s="147"/>
      <c r="N146" s="147"/>
    </row>
    <row r="147" spans="2:14">
      <c r="B147" s="147"/>
      <c r="C147" s="147"/>
      <c r="D147" s="147"/>
      <c r="E147" s="147"/>
      <c r="F147" s="147"/>
      <c r="G147" s="147"/>
      <c r="H147" s="147"/>
      <c r="I147" s="147"/>
      <c r="J147" s="147"/>
      <c r="K147" s="147"/>
      <c r="L147" s="147"/>
      <c r="M147" s="147"/>
      <c r="N147" s="147"/>
    </row>
    <row r="148" spans="2:14">
      <c r="B148" s="147"/>
      <c r="C148" s="147"/>
      <c r="D148" s="147"/>
      <c r="E148" s="147"/>
      <c r="F148" s="147"/>
      <c r="G148" s="147"/>
      <c r="H148" s="147"/>
      <c r="I148" s="147"/>
      <c r="J148" s="147"/>
      <c r="K148" s="147"/>
      <c r="L148" s="147"/>
      <c r="M148" s="147"/>
      <c r="N148" s="147"/>
    </row>
    <row r="149" spans="2:14">
      <c r="B149" s="147"/>
      <c r="C149" s="147"/>
      <c r="D149" s="147"/>
      <c r="E149" s="147"/>
      <c r="F149" s="147"/>
      <c r="G149" s="147"/>
      <c r="H149" s="147"/>
      <c r="I149" s="147"/>
      <c r="J149" s="147"/>
      <c r="K149" s="147"/>
      <c r="L149" s="147"/>
      <c r="M149" s="147"/>
      <c r="N149" s="147"/>
    </row>
    <row r="150" spans="2:14">
      <c r="B150" s="147"/>
      <c r="C150" s="147"/>
      <c r="D150" s="147"/>
      <c r="E150" s="147"/>
      <c r="F150" s="147"/>
      <c r="G150" s="147"/>
      <c r="H150" s="147"/>
      <c r="I150" s="147"/>
      <c r="J150" s="147"/>
      <c r="K150" s="147"/>
      <c r="L150" s="147"/>
      <c r="M150" s="147"/>
      <c r="N150" s="147"/>
    </row>
    <row r="151" spans="2:14">
      <c r="B151" s="147"/>
      <c r="C151" s="147"/>
      <c r="D151" s="147"/>
      <c r="E151" s="147"/>
      <c r="F151" s="147"/>
      <c r="G151" s="147"/>
      <c r="H151" s="147"/>
      <c r="I151" s="147"/>
      <c r="J151" s="147"/>
      <c r="K151" s="147"/>
      <c r="L151" s="147"/>
      <c r="M151" s="147"/>
      <c r="N151" s="147"/>
    </row>
    <row r="152" spans="2:14">
      <c r="B152" s="147"/>
      <c r="C152" s="147"/>
      <c r="D152" s="147"/>
      <c r="E152" s="147"/>
      <c r="F152" s="147"/>
      <c r="G152" s="147"/>
      <c r="H152" s="147"/>
      <c r="I152" s="147"/>
      <c r="J152" s="147"/>
      <c r="K152" s="147"/>
      <c r="L152" s="147"/>
      <c r="M152" s="147"/>
      <c r="N152" s="147"/>
    </row>
    <row r="153" spans="2:14">
      <c r="B153" s="147"/>
      <c r="C153" s="147"/>
      <c r="D153" s="147"/>
      <c r="E153" s="147"/>
      <c r="F153" s="147"/>
      <c r="G153" s="147"/>
      <c r="H153" s="147"/>
      <c r="I153" s="147"/>
      <c r="J153" s="147"/>
      <c r="K153" s="147"/>
      <c r="L153" s="147"/>
      <c r="M153" s="147"/>
      <c r="N153" s="147"/>
    </row>
    <row r="154" spans="2:14">
      <c r="B154" s="147"/>
      <c r="C154" s="147"/>
      <c r="D154" s="147"/>
      <c r="E154" s="147"/>
      <c r="F154" s="147"/>
      <c r="G154" s="147"/>
      <c r="H154" s="147"/>
      <c r="I154" s="147"/>
      <c r="J154" s="147"/>
      <c r="K154" s="147"/>
      <c r="L154" s="147"/>
      <c r="M154" s="147"/>
      <c r="N154" s="147"/>
    </row>
    <row r="155" spans="2:14">
      <c r="B155" s="147"/>
      <c r="C155" s="147"/>
      <c r="D155" s="147"/>
      <c r="E155" s="147"/>
      <c r="F155" s="147"/>
      <c r="G155" s="147"/>
      <c r="H155" s="147"/>
      <c r="I155" s="147"/>
      <c r="J155" s="147"/>
      <c r="K155" s="147"/>
      <c r="L155" s="147"/>
      <c r="M155" s="147"/>
      <c r="N155" s="147"/>
    </row>
    <row r="156" spans="2:14">
      <c r="B156" s="147"/>
      <c r="C156" s="147"/>
      <c r="D156" s="147"/>
      <c r="E156" s="147"/>
      <c r="F156" s="147"/>
      <c r="G156" s="147"/>
      <c r="H156" s="147"/>
      <c r="I156" s="147"/>
      <c r="J156" s="147"/>
      <c r="K156" s="147"/>
      <c r="L156" s="147"/>
      <c r="M156" s="147"/>
      <c r="N156" s="147"/>
    </row>
    <row r="157" spans="2:14">
      <c r="B157" s="147"/>
      <c r="C157" s="147"/>
      <c r="D157" s="147"/>
      <c r="E157" s="147"/>
      <c r="F157" s="147"/>
      <c r="G157" s="147"/>
      <c r="H157" s="147"/>
      <c r="I157" s="147"/>
      <c r="J157" s="147"/>
      <c r="K157" s="147"/>
      <c r="L157" s="147"/>
      <c r="M157" s="147"/>
      <c r="N157" s="147"/>
    </row>
    <row r="158" spans="2:14">
      <c r="B158" s="147"/>
      <c r="C158" s="147"/>
      <c r="D158" s="147"/>
      <c r="E158" s="147"/>
      <c r="F158" s="147"/>
      <c r="G158" s="147"/>
      <c r="H158" s="147"/>
      <c r="I158" s="147"/>
      <c r="J158" s="147"/>
      <c r="K158" s="147"/>
      <c r="L158" s="147"/>
      <c r="M158" s="147"/>
      <c r="N158" s="147"/>
    </row>
    <row r="159" spans="2:14">
      <c r="B159" s="147"/>
      <c r="C159" s="147"/>
      <c r="D159" s="147"/>
    </row>
  </sheetData>
  <sheetProtection algorithmName="SHA-512" hashValue="yuWvrbgBBSgMlw3eisDJT7Bq7zdVyKf04VdfQo/yGjT4781xuiLbP3rcknLX4bSwqtmrX2kL8BsVDqU6IxvUKA==" saltValue="sEuL3U47xp2aelPooIuU6Q==" spinCount="100000" sheet="1" formatColumns="0" formatRows="0"/>
  <mergeCells count="10">
    <mergeCell ref="A59:A73"/>
    <mergeCell ref="A74:A88"/>
    <mergeCell ref="B2:N2"/>
    <mergeCell ref="B18:N18"/>
    <mergeCell ref="B3:N5"/>
    <mergeCell ref="A44:A58"/>
    <mergeCell ref="B17:C17"/>
    <mergeCell ref="F17:N17"/>
    <mergeCell ref="B7:N7"/>
    <mergeCell ref="B8:N8"/>
  </mergeCells>
  <phoneticPr fontId="7" type="noConversion"/>
  <conditionalFormatting sqref="E21:M35">
    <cfRule type="expression" dxfId="40" priority="3">
      <formula>E$41=0</formula>
    </cfRule>
  </conditionalFormatting>
  <conditionalFormatting sqref="E22:M35">
    <cfRule type="expression" dxfId="39" priority="75">
      <formula>$C22&lt;&gt;""</formula>
    </cfRule>
  </conditionalFormatting>
  <conditionalFormatting sqref="B10:N14">
    <cfRule type="expression" dxfId="38" priority="2">
      <formula>$D10&lt;&gt;0</formula>
    </cfRule>
  </conditionalFormatting>
  <conditionalFormatting sqref="E10:M14">
    <cfRule type="expression" dxfId="37" priority="1">
      <formula>E10=0</formula>
    </cfRule>
  </conditionalFormatting>
  <dataValidations count="2">
    <dataValidation type="list" allowBlank="1" showInputMessage="1" showErrorMessage="1" sqref="E21:M35" xr:uid="{2D683D45-3251-4E1A-8D94-78282E2186FE}">
      <formula1>"1,0"</formula1>
    </dataValidation>
    <dataValidation type="list" allowBlank="1" showInputMessage="1" showErrorMessage="1" sqref="E17" xr:uid="{8CF18364-0C2D-45AA-846C-BE3D3FC8FAAA}">
      <formula1>"Yes, No"</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7D1D1-8956-44AC-BFC8-FA41579FF069}">
  <sheetPr codeName="Sheet20">
    <tabColor theme="4" tint="0.39997558519241921"/>
  </sheetPr>
  <dimension ref="A1:S75"/>
  <sheetViews>
    <sheetView view="pageLayout" zoomScaleNormal="100" workbookViewId="0">
      <selection activeCell="H14" sqref="H14:L14"/>
    </sheetView>
  </sheetViews>
  <sheetFormatPr defaultColWidth="8.7109375" defaultRowHeight="14.45"/>
  <cols>
    <col min="1" max="1" width="5.85546875" style="147" customWidth="1"/>
    <col min="2" max="2" width="5.42578125" style="147" customWidth="1"/>
    <col min="3" max="3" width="4.42578125" style="147" customWidth="1"/>
    <col min="4" max="4" width="4.5703125" style="147" customWidth="1"/>
    <col min="5" max="5" width="16.42578125" style="147" customWidth="1"/>
    <col min="6" max="6" width="23" style="147" customWidth="1"/>
    <col min="7" max="7" width="13" style="147" customWidth="1"/>
    <col min="8" max="8" width="12.85546875" style="147" customWidth="1"/>
    <col min="9" max="9" width="8.7109375" style="147"/>
    <col min="10" max="10" width="12.5703125" style="147" customWidth="1"/>
    <col min="11" max="11" width="4.5703125" style="147" customWidth="1"/>
    <col min="12" max="12" width="14.140625" style="147" customWidth="1"/>
    <col min="13" max="17" width="8.7109375" style="147"/>
    <col min="18" max="18" width="24.42578125" style="147" customWidth="1"/>
    <col min="19" max="19" width="46.7109375" style="314" customWidth="1"/>
    <col min="20" max="16384" width="8.7109375" style="147"/>
  </cols>
  <sheetData>
    <row r="1" spans="1:12" ht="18.600000000000001">
      <c r="A1" s="1700" t="s">
        <v>414</v>
      </c>
      <c r="B1" s="1701"/>
      <c r="C1" s="1701"/>
      <c r="D1" s="1701"/>
      <c r="E1" s="1701"/>
      <c r="F1" s="1701"/>
      <c r="G1" s="1701"/>
      <c r="H1" s="1701"/>
      <c r="I1" s="1701"/>
      <c r="J1" s="1701"/>
      <c r="K1" s="1701"/>
      <c r="L1" s="1702"/>
    </row>
    <row r="2" spans="1:12" ht="14.45" customHeight="1">
      <c r="A2" s="1573" t="s">
        <v>510</v>
      </c>
      <c r="B2" s="1574"/>
      <c r="C2" s="1574"/>
      <c r="D2" s="1574"/>
      <c r="E2" s="1574"/>
      <c r="F2" s="1574"/>
      <c r="G2" s="1574"/>
      <c r="H2" s="1574"/>
      <c r="I2" s="1574"/>
      <c r="J2" s="1574"/>
      <c r="K2" s="1574"/>
      <c r="L2" s="1575"/>
    </row>
    <row r="3" spans="1:12">
      <c r="A3" s="1576"/>
      <c r="B3" s="1577"/>
      <c r="C3" s="1577"/>
      <c r="D3" s="1577"/>
      <c r="E3" s="1577"/>
      <c r="F3" s="1577"/>
      <c r="G3" s="1577"/>
      <c r="H3" s="1577"/>
      <c r="I3" s="1577"/>
      <c r="J3" s="1577"/>
      <c r="K3" s="1577"/>
      <c r="L3" s="1578"/>
    </row>
    <row r="4" spans="1:12" ht="33.950000000000003" customHeight="1">
      <c r="A4" s="1579"/>
      <c r="B4" s="1580"/>
      <c r="C4" s="1580"/>
      <c r="D4" s="1580"/>
      <c r="E4" s="1580"/>
      <c r="F4" s="1580"/>
      <c r="G4" s="1580"/>
      <c r="H4" s="1580"/>
      <c r="I4" s="1580"/>
      <c r="J4" s="1580"/>
      <c r="K4" s="1580"/>
      <c r="L4" s="1581"/>
    </row>
    <row r="6" spans="1:12" ht="14.45" customHeight="1">
      <c r="A6" s="1707" t="s">
        <v>511</v>
      </c>
      <c r="B6" s="1707"/>
      <c r="C6" s="1706" t="str">
        <f>'User Inputs and Savings'!$C$6</f>
        <v/>
      </c>
      <c r="D6" s="1706"/>
      <c r="E6" s="1706"/>
      <c r="F6" s="1706"/>
      <c r="G6" s="1706"/>
      <c r="H6" s="374" t="s">
        <v>512</v>
      </c>
      <c r="I6" s="1705" t="s">
        <v>513</v>
      </c>
      <c r="J6" s="1705"/>
      <c r="K6" s="1705"/>
      <c r="L6" s="1705"/>
    </row>
    <row r="7" spans="1:12">
      <c r="A7" s="1708" t="s">
        <v>514</v>
      </c>
      <c r="B7" s="1708"/>
      <c r="C7" s="1706" t="str">
        <f>'User Inputs and Savings'!$C$4</f>
        <v/>
      </c>
      <c r="D7" s="1706"/>
      <c r="E7" s="1706"/>
      <c r="F7" s="1706"/>
      <c r="G7" s="1706"/>
      <c r="H7" s="374" t="s">
        <v>235</v>
      </c>
      <c r="I7" s="1704" t="str">
        <f>'User Inputs and Savings'!H8</f>
        <v/>
      </c>
      <c r="J7" s="1704"/>
      <c r="K7" s="1704"/>
      <c r="L7" s="1704"/>
    </row>
    <row r="8" spans="1:12" ht="47.45" customHeight="1">
      <c r="A8" s="1708" t="s">
        <v>515</v>
      </c>
      <c r="B8" s="1708"/>
      <c r="C8" s="1709" t="s">
        <v>516</v>
      </c>
      <c r="D8" s="1709"/>
      <c r="E8" s="1709"/>
      <c r="F8" s="1709"/>
      <c r="G8" s="1709"/>
      <c r="H8" s="1709"/>
      <c r="I8" s="1709"/>
      <c r="J8" s="1709"/>
      <c r="K8" s="1709"/>
      <c r="L8" s="1709"/>
    </row>
    <row r="9" spans="1:12" ht="45" customHeight="1">
      <c r="A9" s="1703" t="s">
        <v>517</v>
      </c>
      <c r="B9" s="1703"/>
      <c r="C9" s="1703"/>
      <c r="D9" s="1703"/>
      <c r="E9" s="1703"/>
      <c r="F9" s="1703"/>
      <c r="G9" s="1703"/>
      <c r="H9" s="1703"/>
      <c r="I9" s="1703"/>
      <c r="J9" s="1703"/>
      <c r="K9" s="1703"/>
      <c r="L9" s="1703"/>
    </row>
    <row r="10" spans="1:12" ht="42.95" customHeight="1">
      <c r="A10" s="1686" t="s">
        <v>518</v>
      </c>
      <c r="B10" s="1686"/>
      <c r="C10" s="1686"/>
      <c r="D10" s="1686"/>
      <c r="E10" s="1686"/>
      <c r="F10" s="1686"/>
      <c r="G10" s="1686"/>
      <c r="H10" s="1686"/>
      <c r="I10" s="1686"/>
      <c r="J10" s="1686"/>
      <c r="K10" s="1686"/>
      <c r="L10" s="1686"/>
    </row>
    <row r="11" spans="1:12">
      <c r="A11" s="375"/>
      <c r="B11" s="376"/>
      <c r="C11" s="377"/>
      <c r="D11" s="378"/>
      <c r="E11" s="1710" t="s">
        <v>519</v>
      </c>
      <c r="F11" s="1710"/>
      <c r="G11" s="1710"/>
      <c r="H11" s="1710" t="s">
        <v>520</v>
      </c>
      <c r="I11" s="1710"/>
      <c r="J11" s="1710"/>
      <c r="K11" s="1710"/>
      <c r="L11" s="1710"/>
    </row>
    <row r="12" spans="1:12" ht="15.6" customHeight="1">
      <c r="A12" s="379" t="s">
        <v>521</v>
      </c>
      <c r="B12" s="380" t="s">
        <v>522</v>
      </c>
      <c r="C12" s="381" t="s">
        <v>523</v>
      </c>
      <c r="D12" s="382" t="s">
        <v>522</v>
      </c>
      <c r="E12" s="1711" t="str">
        <f>'User Inputs and Savings'!$C$30</f>
        <v>Select Project Type</v>
      </c>
      <c r="F12" s="1712"/>
      <c r="G12" s="1713"/>
      <c r="H12" s="1707"/>
      <c r="I12" s="1707"/>
      <c r="J12" s="1707"/>
      <c r="K12" s="1707"/>
      <c r="L12" s="1707"/>
    </row>
    <row r="13" spans="1:12" ht="33.6" customHeight="1">
      <c r="A13" s="1686" t="s">
        <v>524</v>
      </c>
      <c r="B13" s="1686"/>
      <c r="C13" s="1686"/>
      <c r="D13" s="1686"/>
      <c r="E13" s="1686"/>
      <c r="F13" s="1686"/>
      <c r="G13" s="1686"/>
      <c r="H13" s="1686"/>
      <c r="I13" s="1686"/>
      <c r="J13" s="1686"/>
      <c r="K13" s="1686"/>
      <c r="L13" s="1686"/>
    </row>
    <row r="14" spans="1:12" ht="63.6" customHeight="1">
      <c r="A14" s="379" t="s">
        <v>521</v>
      </c>
      <c r="B14" s="380" t="s">
        <v>522</v>
      </c>
      <c r="C14" s="381" t="s">
        <v>523</v>
      </c>
      <c r="D14" s="382" t="s">
        <v>522</v>
      </c>
      <c r="E14" s="409" t="str">
        <f>'PA Only - MRD Equipment List'!C44</f>
        <v/>
      </c>
      <c r="F14" s="1677" t="str">
        <f>'PA Only - MRD Equipment List'!N74</f>
        <v/>
      </c>
      <c r="G14" s="1678"/>
      <c r="H14" s="1679"/>
      <c r="I14" s="1679"/>
      <c r="J14" s="1679"/>
      <c r="K14" s="1679"/>
      <c r="L14" s="1679"/>
    </row>
    <row r="15" spans="1:12" ht="90" customHeight="1">
      <c r="A15" s="379" t="s">
        <v>521</v>
      </c>
      <c r="B15" s="380" t="s">
        <v>522</v>
      </c>
      <c r="C15" s="381" t="s">
        <v>523</v>
      </c>
      <c r="D15" s="382" t="s">
        <v>522</v>
      </c>
      <c r="E15" s="409" t="str">
        <f>'PA Only - MRD Equipment List'!C45</f>
        <v/>
      </c>
      <c r="F15" s="1677" t="str">
        <f>'PA Only - MRD Equipment List'!N75</f>
        <v/>
      </c>
      <c r="G15" s="1678"/>
      <c r="H15" s="1687"/>
      <c r="I15" s="1688"/>
      <c r="J15" s="1688"/>
      <c r="K15" s="1688"/>
      <c r="L15" s="1689"/>
    </row>
    <row r="16" spans="1:12" ht="33.6" customHeight="1">
      <c r="A16" s="379" t="s">
        <v>521</v>
      </c>
      <c r="B16" s="380" t="s">
        <v>522</v>
      </c>
      <c r="C16" s="381" t="s">
        <v>523</v>
      </c>
      <c r="D16" s="382" t="s">
        <v>522</v>
      </c>
      <c r="E16" s="409" t="str">
        <f>'PA Only - MRD Equipment List'!C46</f>
        <v/>
      </c>
      <c r="F16" s="1677" t="str">
        <f>'PA Only - MRD Equipment List'!N76</f>
        <v/>
      </c>
      <c r="G16" s="1678"/>
      <c r="H16" s="1687"/>
      <c r="I16" s="1688"/>
      <c r="J16" s="1688"/>
      <c r="K16" s="1688"/>
      <c r="L16" s="1689"/>
    </row>
    <row r="17" spans="1:12">
      <c r="A17" s="379" t="s">
        <v>521</v>
      </c>
      <c r="B17" s="380" t="s">
        <v>522</v>
      </c>
      <c r="C17" s="381" t="s">
        <v>523</v>
      </c>
      <c r="D17" s="382" t="s">
        <v>522</v>
      </c>
      <c r="E17" s="409" t="str">
        <f>'PA Only - MRD Equipment List'!C47</f>
        <v/>
      </c>
      <c r="F17" s="1677" t="str">
        <f>'PA Only - MRD Equipment List'!N77</f>
        <v/>
      </c>
      <c r="G17" s="1678"/>
      <c r="H17" s="1687"/>
      <c r="I17" s="1688"/>
      <c r="J17" s="1688"/>
      <c r="K17" s="1688"/>
      <c r="L17" s="1689"/>
    </row>
    <row r="18" spans="1:12">
      <c r="A18" s="379" t="s">
        <v>521</v>
      </c>
      <c r="B18" s="380" t="s">
        <v>522</v>
      </c>
      <c r="C18" s="381" t="s">
        <v>523</v>
      </c>
      <c r="D18" s="382" t="s">
        <v>522</v>
      </c>
      <c r="E18" s="409" t="str">
        <f>'PA Only - MRD Equipment List'!C48</f>
        <v/>
      </c>
      <c r="F18" s="1677" t="str">
        <f>'PA Only - MRD Equipment List'!N78</f>
        <v/>
      </c>
      <c r="G18" s="1678"/>
      <c r="H18" s="1687"/>
      <c r="I18" s="1688"/>
      <c r="J18" s="1688"/>
      <c r="K18" s="1688"/>
      <c r="L18" s="1689"/>
    </row>
    <row r="19" spans="1:12">
      <c r="A19" s="379" t="s">
        <v>521</v>
      </c>
      <c r="B19" s="380" t="s">
        <v>522</v>
      </c>
      <c r="C19" s="381" t="s">
        <v>523</v>
      </c>
      <c r="D19" s="382" t="s">
        <v>522</v>
      </c>
      <c r="E19" s="409" t="str">
        <f>'PA Only - MRD Equipment List'!C49</f>
        <v/>
      </c>
      <c r="F19" s="1677" t="str">
        <f>'PA Only - MRD Equipment List'!N79</f>
        <v/>
      </c>
      <c r="G19" s="1678"/>
      <c r="H19" s="1687"/>
      <c r="I19" s="1688"/>
      <c r="J19" s="1688"/>
      <c r="K19" s="1688"/>
      <c r="L19" s="1689"/>
    </row>
    <row r="20" spans="1:12">
      <c r="A20" s="379" t="s">
        <v>521</v>
      </c>
      <c r="B20" s="380" t="s">
        <v>522</v>
      </c>
      <c r="C20" s="381" t="s">
        <v>523</v>
      </c>
      <c r="D20" s="382" t="s">
        <v>522</v>
      </c>
      <c r="E20" s="409" t="str">
        <f>'PA Only - MRD Equipment List'!C50</f>
        <v/>
      </c>
      <c r="F20" s="1677" t="str">
        <f>'PA Only - MRD Equipment List'!N80</f>
        <v/>
      </c>
      <c r="G20" s="1678"/>
      <c r="H20" s="1687"/>
      <c r="I20" s="1688"/>
      <c r="J20" s="1688"/>
      <c r="K20" s="1688"/>
      <c r="L20" s="1689"/>
    </row>
    <row r="21" spans="1:12">
      <c r="A21" s="379" t="s">
        <v>521</v>
      </c>
      <c r="B21" s="380" t="s">
        <v>522</v>
      </c>
      <c r="C21" s="381" t="s">
        <v>523</v>
      </c>
      <c r="D21" s="382" t="s">
        <v>522</v>
      </c>
      <c r="E21" s="409" t="str">
        <f>'PA Only - MRD Equipment List'!C51</f>
        <v/>
      </c>
      <c r="F21" s="1677" t="str">
        <f>'PA Only - MRD Equipment List'!N81</f>
        <v/>
      </c>
      <c r="G21" s="1678"/>
      <c r="H21" s="1687"/>
      <c r="I21" s="1688"/>
      <c r="J21" s="1688"/>
      <c r="K21" s="1688"/>
      <c r="L21" s="1689"/>
    </row>
    <row r="22" spans="1:12">
      <c r="A22" s="379" t="s">
        <v>521</v>
      </c>
      <c r="B22" s="380" t="s">
        <v>522</v>
      </c>
      <c r="C22" s="381" t="s">
        <v>523</v>
      </c>
      <c r="D22" s="382" t="s">
        <v>522</v>
      </c>
      <c r="E22" s="409" t="str">
        <f>'PA Only - MRD Equipment List'!C52</f>
        <v/>
      </c>
      <c r="F22" s="1677" t="str">
        <f>'PA Only - MRD Equipment List'!N82</f>
        <v/>
      </c>
      <c r="G22" s="1678"/>
      <c r="H22" s="1687"/>
      <c r="I22" s="1688"/>
      <c r="J22" s="1688"/>
      <c r="K22" s="1688"/>
      <c r="L22" s="1689"/>
    </row>
    <row r="23" spans="1:12">
      <c r="A23" s="379" t="s">
        <v>521</v>
      </c>
      <c r="B23" s="380" t="s">
        <v>522</v>
      </c>
      <c r="C23" s="381" t="s">
        <v>523</v>
      </c>
      <c r="D23" s="382" t="s">
        <v>522</v>
      </c>
      <c r="E23" s="409" t="str">
        <f>'PA Only - MRD Equipment List'!C53</f>
        <v/>
      </c>
      <c r="F23" s="1677" t="str">
        <f>'PA Only - MRD Equipment List'!N83</f>
        <v/>
      </c>
      <c r="G23" s="1678"/>
      <c r="H23" s="1687"/>
      <c r="I23" s="1688"/>
      <c r="J23" s="1688"/>
      <c r="K23" s="1688"/>
      <c r="L23" s="1689"/>
    </row>
    <row r="24" spans="1:12">
      <c r="A24" s="379" t="s">
        <v>521</v>
      </c>
      <c r="B24" s="380" t="s">
        <v>522</v>
      </c>
      <c r="C24" s="381" t="s">
        <v>523</v>
      </c>
      <c r="D24" s="382" t="s">
        <v>522</v>
      </c>
      <c r="E24" s="409" t="str">
        <f>'PA Only - MRD Equipment List'!C54</f>
        <v/>
      </c>
      <c r="F24" s="1677" t="str">
        <f>'PA Only - MRD Equipment List'!N84</f>
        <v/>
      </c>
      <c r="G24" s="1678"/>
      <c r="H24" s="1687"/>
      <c r="I24" s="1688"/>
      <c r="J24" s="1688"/>
      <c r="K24" s="1688"/>
      <c r="L24" s="1689"/>
    </row>
    <row r="25" spans="1:12">
      <c r="A25" s="379" t="s">
        <v>521</v>
      </c>
      <c r="B25" s="380" t="s">
        <v>522</v>
      </c>
      <c r="C25" s="381" t="s">
        <v>523</v>
      </c>
      <c r="D25" s="382" t="s">
        <v>522</v>
      </c>
      <c r="E25" s="409" t="str">
        <f>'PA Only - MRD Equipment List'!C55</f>
        <v/>
      </c>
      <c r="F25" s="1677" t="str">
        <f>'PA Only - MRD Equipment List'!N85</f>
        <v/>
      </c>
      <c r="G25" s="1678"/>
      <c r="H25" s="1687"/>
      <c r="I25" s="1688"/>
      <c r="J25" s="1688"/>
      <c r="K25" s="1688"/>
      <c r="L25" s="1689"/>
    </row>
    <row r="26" spans="1:12">
      <c r="A26" s="379" t="s">
        <v>521</v>
      </c>
      <c r="B26" s="380" t="s">
        <v>522</v>
      </c>
      <c r="C26" s="381" t="s">
        <v>523</v>
      </c>
      <c r="D26" s="382" t="s">
        <v>522</v>
      </c>
      <c r="E26" s="409" t="str">
        <f>'PA Only - MRD Equipment List'!C56</f>
        <v/>
      </c>
      <c r="F26" s="1677" t="str">
        <f>'PA Only - MRD Equipment List'!N86</f>
        <v/>
      </c>
      <c r="G26" s="1678"/>
      <c r="H26" s="1687"/>
      <c r="I26" s="1688"/>
      <c r="J26" s="1688"/>
      <c r="K26" s="1688"/>
      <c r="L26" s="1689"/>
    </row>
    <row r="27" spans="1:12">
      <c r="A27" s="379" t="s">
        <v>521</v>
      </c>
      <c r="B27" s="380" t="s">
        <v>522</v>
      </c>
      <c r="C27" s="381" t="s">
        <v>523</v>
      </c>
      <c r="D27" s="382" t="s">
        <v>522</v>
      </c>
      <c r="E27" s="409" t="str">
        <f>'PA Only - MRD Equipment List'!C57</f>
        <v/>
      </c>
      <c r="F27" s="1677" t="str">
        <f>'PA Only - MRD Equipment List'!N87</f>
        <v/>
      </c>
      <c r="G27" s="1678"/>
      <c r="H27" s="1687"/>
      <c r="I27" s="1688"/>
      <c r="J27" s="1688"/>
      <c r="K27" s="1688"/>
      <c r="L27" s="1689"/>
    </row>
    <row r="28" spans="1:12">
      <c r="A28" s="379" t="s">
        <v>521</v>
      </c>
      <c r="B28" s="380" t="s">
        <v>522</v>
      </c>
      <c r="C28" s="381" t="s">
        <v>523</v>
      </c>
      <c r="D28" s="382" t="s">
        <v>522</v>
      </c>
      <c r="E28" s="409" t="str">
        <f>'PA Only - MRD Equipment List'!C58</f>
        <v/>
      </c>
      <c r="F28" s="1677" t="str">
        <f>'PA Only - MRD Equipment List'!N88</f>
        <v/>
      </c>
      <c r="G28" s="1678"/>
      <c r="H28" s="1687"/>
      <c r="I28" s="1688"/>
      <c r="J28" s="1688"/>
      <c r="K28" s="1688"/>
      <c r="L28" s="1689"/>
    </row>
    <row r="29" spans="1:12" ht="47.45" customHeight="1">
      <c r="A29" s="1686" t="s">
        <v>525</v>
      </c>
      <c r="B29" s="1686"/>
      <c r="C29" s="1686"/>
      <c r="D29" s="1686"/>
      <c r="E29" s="1686"/>
      <c r="F29" s="1686"/>
      <c r="G29" s="1686"/>
      <c r="H29" s="1686"/>
      <c r="I29" s="1686"/>
      <c r="J29" s="1686"/>
      <c r="K29" s="1686"/>
      <c r="L29" s="1686"/>
    </row>
    <row r="30" spans="1:12" ht="30.95" customHeight="1">
      <c r="A30" s="379" t="s">
        <v>521</v>
      </c>
      <c r="B30" s="380" t="s">
        <v>522</v>
      </c>
      <c r="C30" s="381" t="s">
        <v>523</v>
      </c>
      <c r="D30" s="382" t="s">
        <v>522</v>
      </c>
      <c r="E30" s="1679" t="s">
        <v>526</v>
      </c>
      <c r="F30" s="1679"/>
      <c r="G30" s="1679"/>
      <c r="H30" s="1690" t="s">
        <v>527</v>
      </c>
      <c r="I30" s="1691"/>
      <c r="J30" s="1691"/>
      <c r="K30" s="1691"/>
      <c r="L30" s="1692"/>
    </row>
    <row r="31" spans="1:12">
      <c r="A31" s="379" t="s">
        <v>521</v>
      </c>
      <c r="B31" s="380" t="s">
        <v>522</v>
      </c>
      <c r="C31" s="381" t="s">
        <v>523</v>
      </c>
      <c r="D31" s="382" t="s">
        <v>522</v>
      </c>
      <c r="E31" s="1679" t="s">
        <v>528</v>
      </c>
      <c r="F31" s="1679"/>
      <c r="G31" s="1679"/>
      <c r="H31" s="1693"/>
      <c r="I31" s="1694"/>
      <c r="J31" s="1694"/>
      <c r="K31" s="1694"/>
      <c r="L31" s="1695"/>
    </row>
    <row r="32" spans="1:12">
      <c r="A32" s="379" t="s">
        <v>521</v>
      </c>
      <c r="B32" s="380" t="s">
        <v>522</v>
      </c>
      <c r="C32" s="381" t="s">
        <v>523</v>
      </c>
      <c r="D32" s="382" t="s">
        <v>522</v>
      </c>
      <c r="E32" s="1679" t="s">
        <v>529</v>
      </c>
      <c r="F32" s="1679"/>
      <c r="G32" s="1679"/>
      <c r="H32" s="1693"/>
      <c r="I32" s="1694"/>
      <c r="J32" s="1694"/>
      <c r="K32" s="1694"/>
      <c r="L32" s="1695"/>
    </row>
    <row r="33" spans="1:12">
      <c r="A33" s="379" t="s">
        <v>521</v>
      </c>
      <c r="B33" s="380" t="s">
        <v>522</v>
      </c>
      <c r="C33" s="381" t="s">
        <v>523</v>
      </c>
      <c r="D33" s="382" t="s">
        <v>522</v>
      </c>
      <c r="E33" s="1679" t="s">
        <v>530</v>
      </c>
      <c r="F33" s="1679"/>
      <c r="G33" s="1679"/>
      <c r="H33" s="1693"/>
      <c r="I33" s="1694"/>
      <c r="J33" s="1694"/>
      <c r="K33" s="1694"/>
      <c r="L33" s="1695"/>
    </row>
    <row r="34" spans="1:12">
      <c r="A34" s="379" t="s">
        <v>521</v>
      </c>
      <c r="B34" s="380" t="s">
        <v>522</v>
      </c>
      <c r="C34" s="381" t="s">
        <v>523</v>
      </c>
      <c r="D34" s="382" t="s">
        <v>522</v>
      </c>
      <c r="E34" s="1679" t="s">
        <v>531</v>
      </c>
      <c r="F34" s="1679"/>
      <c r="G34" s="1679"/>
      <c r="H34" s="1696"/>
      <c r="I34" s="1697"/>
      <c r="J34" s="1697"/>
      <c r="K34" s="1697"/>
      <c r="L34" s="1698"/>
    </row>
    <row r="35" spans="1:12" ht="167.1" customHeight="1">
      <c r="A35" s="379" t="s">
        <v>521</v>
      </c>
      <c r="B35" s="380" t="s">
        <v>522</v>
      </c>
      <c r="C35" s="381" t="s">
        <v>523</v>
      </c>
      <c r="D35" s="382" t="s">
        <v>522</v>
      </c>
      <c r="E35" s="409" t="str">
        <f>'PA Only - MRD Equipment List'!C44</f>
        <v/>
      </c>
      <c r="F35" s="1677" t="str">
        <f>'PA Only - MRD Equipment List'!N59</f>
        <v/>
      </c>
      <c r="G35" s="1678"/>
      <c r="H35" s="1679"/>
      <c r="I35" s="1679"/>
      <c r="J35" s="1679"/>
      <c r="K35" s="1679"/>
      <c r="L35" s="1679"/>
    </row>
    <row r="36" spans="1:12" ht="137.1" customHeight="1">
      <c r="A36" s="379" t="s">
        <v>521</v>
      </c>
      <c r="B36" s="380" t="s">
        <v>522</v>
      </c>
      <c r="C36" s="381" t="s">
        <v>523</v>
      </c>
      <c r="D36" s="382" t="s">
        <v>522</v>
      </c>
      <c r="E36" s="409" t="str">
        <f>'PA Only - MRD Equipment List'!C45</f>
        <v/>
      </c>
      <c r="F36" s="1677" t="str">
        <f>'PA Only - MRD Equipment List'!N60</f>
        <v/>
      </c>
      <c r="G36" s="1678"/>
      <c r="H36" s="1679"/>
      <c r="I36" s="1679"/>
      <c r="J36" s="1679"/>
      <c r="K36" s="1679"/>
      <c r="L36" s="1679"/>
    </row>
    <row r="37" spans="1:12" ht="58.5" customHeight="1">
      <c r="A37" s="379" t="s">
        <v>521</v>
      </c>
      <c r="B37" s="380" t="s">
        <v>522</v>
      </c>
      <c r="C37" s="381" t="s">
        <v>523</v>
      </c>
      <c r="D37" s="382" t="s">
        <v>522</v>
      </c>
      <c r="E37" s="409" t="str">
        <f>'PA Only - MRD Equipment List'!C46</f>
        <v/>
      </c>
      <c r="F37" s="1677" t="str">
        <f>'PA Only - MRD Equipment List'!N61</f>
        <v/>
      </c>
      <c r="G37" s="1678"/>
      <c r="H37" s="1679"/>
      <c r="I37" s="1679"/>
      <c r="J37" s="1679"/>
      <c r="K37" s="1679"/>
      <c r="L37" s="1679"/>
    </row>
    <row r="38" spans="1:12">
      <c r="A38" s="379" t="s">
        <v>521</v>
      </c>
      <c r="B38" s="380" t="s">
        <v>522</v>
      </c>
      <c r="C38" s="381" t="s">
        <v>523</v>
      </c>
      <c r="D38" s="382" t="s">
        <v>522</v>
      </c>
      <c r="E38" s="409" t="str">
        <f>'PA Only - MRD Equipment List'!C47</f>
        <v/>
      </c>
      <c r="F38" s="1677" t="str">
        <f>'PA Only - MRD Equipment List'!N62</f>
        <v/>
      </c>
      <c r="G38" s="1678"/>
      <c r="H38" s="1679"/>
      <c r="I38" s="1679"/>
      <c r="J38" s="1679"/>
      <c r="K38" s="1679"/>
      <c r="L38" s="1679"/>
    </row>
    <row r="39" spans="1:12">
      <c r="A39" s="379" t="s">
        <v>521</v>
      </c>
      <c r="B39" s="380" t="s">
        <v>522</v>
      </c>
      <c r="C39" s="381" t="s">
        <v>523</v>
      </c>
      <c r="D39" s="382" t="s">
        <v>522</v>
      </c>
      <c r="E39" s="409" t="str">
        <f>'PA Only - MRD Equipment List'!C48</f>
        <v/>
      </c>
      <c r="F39" s="1677" t="str">
        <f>'PA Only - MRD Equipment List'!N63</f>
        <v/>
      </c>
      <c r="G39" s="1678"/>
      <c r="H39" s="1679"/>
      <c r="I39" s="1679"/>
      <c r="J39" s="1679"/>
      <c r="K39" s="1679"/>
      <c r="L39" s="1679"/>
    </row>
    <row r="40" spans="1:12">
      <c r="A40" s="379" t="s">
        <v>521</v>
      </c>
      <c r="B40" s="380" t="s">
        <v>522</v>
      </c>
      <c r="C40" s="381" t="s">
        <v>523</v>
      </c>
      <c r="D40" s="382" t="s">
        <v>522</v>
      </c>
      <c r="E40" s="409" t="str">
        <f>'PA Only - MRD Equipment List'!C49</f>
        <v/>
      </c>
      <c r="F40" s="1677" t="str">
        <f>'PA Only - MRD Equipment List'!N64</f>
        <v/>
      </c>
      <c r="G40" s="1678"/>
      <c r="H40" s="1679"/>
      <c r="I40" s="1679"/>
      <c r="J40" s="1679"/>
      <c r="K40" s="1679"/>
      <c r="L40" s="1679"/>
    </row>
    <row r="41" spans="1:12">
      <c r="A41" s="379" t="s">
        <v>521</v>
      </c>
      <c r="B41" s="380" t="s">
        <v>522</v>
      </c>
      <c r="C41" s="381" t="s">
        <v>523</v>
      </c>
      <c r="D41" s="382" t="s">
        <v>522</v>
      </c>
      <c r="E41" s="409" t="str">
        <f>'PA Only - MRD Equipment List'!C50</f>
        <v/>
      </c>
      <c r="F41" s="1677" t="str">
        <f>'PA Only - MRD Equipment List'!N65</f>
        <v/>
      </c>
      <c r="G41" s="1678"/>
      <c r="H41" s="1679"/>
      <c r="I41" s="1679"/>
      <c r="J41" s="1679"/>
      <c r="K41" s="1679"/>
      <c r="L41" s="1679"/>
    </row>
    <row r="42" spans="1:12">
      <c r="A42" s="379" t="s">
        <v>521</v>
      </c>
      <c r="B42" s="380" t="s">
        <v>522</v>
      </c>
      <c r="C42" s="381" t="s">
        <v>523</v>
      </c>
      <c r="D42" s="382" t="s">
        <v>522</v>
      </c>
      <c r="E42" s="409" t="str">
        <f>'PA Only - MRD Equipment List'!C51</f>
        <v/>
      </c>
      <c r="F42" s="1677" t="str">
        <f>'PA Only - MRD Equipment List'!N66</f>
        <v/>
      </c>
      <c r="G42" s="1678"/>
      <c r="H42" s="1679"/>
      <c r="I42" s="1679"/>
      <c r="J42" s="1679"/>
      <c r="K42" s="1679"/>
      <c r="L42" s="1679"/>
    </row>
    <row r="43" spans="1:12">
      <c r="A43" s="379" t="s">
        <v>521</v>
      </c>
      <c r="B43" s="380" t="s">
        <v>522</v>
      </c>
      <c r="C43" s="381" t="s">
        <v>523</v>
      </c>
      <c r="D43" s="382" t="s">
        <v>522</v>
      </c>
      <c r="E43" s="409" t="str">
        <f>'PA Only - MRD Equipment List'!C52</f>
        <v/>
      </c>
      <c r="F43" s="1677" t="str">
        <f>'PA Only - MRD Equipment List'!N67</f>
        <v/>
      </c>
      <c r="G43" s="1678"/>
      <c r="H43" s="1679"/>
      <c r="I43" s="1679"/>
      <c r="J43" s="1679"/>
      <c r="K43" s="1679"/>
      <c r="L43" s="1679"/>
    </row>
    <row r="44" spans="1:12">
      <c r="A44" s="379" t="s">
        <v>521</v>
      </c>
      <c r="B44" s="380" t="s">
        <v>522</v>
      </c>
      <c r="C44" s="381" t="s">
        <v>523</v>
      </c>
      <c r="D44" s="382" t="s">
        <v>522</v>
      </c>
      <c r="E44" s="409" t="str">
        <f>'PA Only - MRD Equipment List'!C53</f>
        <v/>
      </c>
      <c r="F44" s="1677" t="str">
        <f>'PA Only - MRD Equipment List'!N68</f>
        <v/>
      </c>
      <c r="G44" s="1678"/>
      <c r="H44" s="1679"/>
      <c r="I44" s="1679"/>
      <c r="J44" s="1679"/>
      <c r="K44" s="1679"/>
      <c r="L44" s="1679"/>
    </row>
    <row r="45" spans="1:12">
      <c r="A45" s="379" t="s">
        <v>521</v>
      </c>
      <c r="B45" s="380" t="s">
        <v>522</v>
      </c>
      <c r="C45" s="381" t="s">
        <v>523</v>
      </c>
      <c r="D45" s="382" t="s">
        <v>522</v>
      </c>
      <c r="E45" s="409" t="str">
        <f>'PA Only - MRD Equipment List'!C54</f>
        <v/>
      </c>
      <c r="F45" s="1677" t="str">
        <f>'PA Only - MRD Equipment List'!N69</f>
        <v/>
      </c>
      <c r="G45" s="1678"/>
      <c r="H45" s="1679"/>
      <c r="I45" s="1679"/>
      <c r="J45" s="1679"/>
      <c r="K45" s="1679"/>
      <c r="L45" s="1679"/>
    </row>
    <row r="46" spans="1:12" ht="14.1" customHeight="1">
      <c r="A46" s="379" t="s">
        <v>521</v>
      </c>
      <c r="B46" s="380" t="s">
        <v>522</v>
      </c>
      <c r="C46" s="381" t="s">
        <v>523</v>
      </c>
      <c r="D46" s="382" t="s">
        <v>522</v>
      </c>
      <c r="E46" s="409" t="str">
        <f>'PA Only - MRD Equipment List'!C55</f>
        <v/>
      </c>
      <c r="F46" s="1677" t="str">
        <f>'PA Only - MRD Equipment List'!N70</f>
        <v/>
      </c>
      <c r="G46" s="1678"/>
      <c r="H46" s="1679"/>
      <c r="I46" s="1679"/>
      <c r="J46" s="1679"/>
      <c r="K46" s="1679"/>
      <c r="L46" s="1679"/>
    </row>
    <row r="47" spans="1:12" ht="14.1" customHeight="1">
      <c r="A47" s="379" t="s">
        <v>521</v>
      </c>
      <c r="B47" s="380" t="s">
        <v>522</v>
      </c>
      <c r="C47" s="381" t="s">
        <v>523</v>
      </c>
      <c r="D47" s="382" t="s">
        <v>522</v>
      </c>
      <c r="E47" s="409" t="str">
        <f>'PA Only - MRD Equipment List'!C56</f>
        <v/>
      </c>
      <c r="F47" s="1677" t="str">
        <f>'PA Only - MRD Equipment List'!N71</f>
        <v/>
      </c>
      <c r="G47" s="1678"/>
      <c r="H47" s="1679"/>
      <c r="I47" s="1679"/>
      <c r="J47" s="1679"/>
      <c r="K47" s="1679"/>
      <c r="L47" s="1679"/>
    </row>
    <row r="48" spans="1:12" ht="14.1" customHeight="1">
      <c r="A48" s="379" t="s">
        <v>521</v>
      </c>
      <c r="B48" s="380" t="s">
        <v>522</v>
      </c>
      <c r="C48" s="381" t="s">
        <v>523</v>
      </c>
      <c r="D48" s="382" t="s">
        <v>522</v>
      </c>
      <c r="E48" s="409" t="str">
        <f>'PA Only - MRD Equipment List'!C57</f>
        <v/>
      </c>
      <c r="F48" s="1677" t="str">
        <f>'PA Only - MRD Equipment List'!N72</f>
        <v/>
      </c>
      <c r="G48" s="1678"/>
      <c r="H48" s="1679"/>
      <c r="I48" s="1679"/>
      <c r="J48" s="1679"/>
      <c r="K48" s="1679"/>
      <c r="L48" s="1679"/>
    </row>
    <row r="49" spans="1:12">
      <c r="A49" s="379" t="s">
        <v>521</v>
      </c>
      <c r="B49" s="380" t="s">
        <v>522</v>
      </c>
      <c r="C49" s="381" t="s">
        <v>523</v>
      </c>
      <c r="D49" s="382" t="s">
        <v>522</v>
      </c>
      <c r="E49" s="409" t="str">
        <f>'PA Only - MRD Equipment List'!C58</f>
        <v/>
      </c>
      <c r="F49" s="1677" t="str">
        <f>'PA Only - MRD Equipment List'!N73</f>
        <v/>
      </c>
      <c r="G49" s="1678"/>
      <c r="H49" s="1679"/>
      <c r="I49" s="1679"/>
      <c r="J49" s="1679"/>
      <c r="K49" s="1679"/>
      <c r="L49" s="1679"/>
    </row>
    <row r="50" spans="1:12" ht="71.099999999999994" customHeight="1">
      <c r="A50" s="1686" t="s">
        <v>532</v>
      </c>
      <c r="B50" s="1686"/>
      <c r="C50" s="1686"/>
      <c r="D50" s="1686"/>
      <c r="E50" s="1686"/>
      <c r="F50" s="1686"/>
      <c r="G50" s="1686"/>
      <c r="H50" s="1686"/>
      <c r="I50" s="1686"/>
      <c r="J50" s="1686"/>
      <c r="K50" s="1686"/>
      <c r="L50" s="1686"/>
    </row>
    <row r="51" spans="1:12" ht="21" customHeight="1">
      <c r="A51" s="379" t="s">
        <v>521</v>
      </c>
      <c r="B51" s="380" t="s">
        <v>522</v>
      </c>
      <c r="C51" s="381" t="s">
        <v>523</v>
      </c>
      <c r="D51" s="382" t="s">
        <v>522</v>
      </c>
      <c r="E51" s="409" t="str">
        <f>'PA Only - MRD Equipment List'!C44</f>
        <v/>
      </c>
      <c r="F51" s="1677" t="str">
        <f>'PA Only - MRD Equipment List'!N44</f>
        <v/>
      </c>
      <c r="G51" s="1678"/>
      <c r="H51" s="1679"/>
      <c r="I51" s="1679"/>
      <c r="J51" s="1679"/>
      <c r="K51" s="1679"/>
      <c r="L51" s="1679"/>
    </row>
    <row r="52" spans="1:12" ht="24.95" customHeight="1">
      <c r="A52" s="379" t="s">
        <v>521</v>
      </c>
      <c r="B52" s="380" t="s">
        <v>522</v>
      </c>
      <c r="C52" s="381" t="s">
        <v>523</v>
      </c>
      <c r="D52" s="382" t="s">
        <v>522</v>
      </c>
      <c r="E52" s="409" t="str">
        <f>'PA Only - MRD Equipment List'!C45</f>
        <v/>
      </c>
      <c r="F52" s="1677" t="str">
        <f>'PA Only - MRD Equipment List'!N45</f>
        <v/>
      </c>
      <c r="G52" s="1678"/>
      <c r="H52" s="1679"/>
      <c r="I52" s="1679"/>
      <c r="J52" s="1679"/>
      <c r="K52" s="1679"/>
      <c r="L52" s="1679"/>
    </row>
    <row r="53" spans="1:12">
      <c r="A53" s="379" t="s">
        <v>521</v>
      </c>
      <c r="B53" s="380" t="s">
        <v>522</v>
      </c>
      <c r="C53" s="381" t="s">
        <v>523</v>
      </c>
      <c r="D53" s="382" t="s">
        <v>522</v>
      </c>
      <c r="E53" s="409" t="str">
        <f>'PA Only - MRD Equipment List'!C46</f>
        <v/>
      </c>
      <c r="F53" s="1677" t="str">
        <f>'PA Only - MRD Equipment List'!N46</f>
        <v/>
      </c>
      <c r="G53" s="1678"/>
      <c r="H53" s="1679"/>
      <c r="I53" s="1679"/>
      <c r="J53" s="1679"/>
      <c r="K53" s="1679"/>
      <c r="L53" s="1679"/>
    </row>
    <row r="54" spans="1:12">
      <c r="A54" s="379" t="s">
        <v>521</v>
      </c>
      <c r="B54" s="380" t="s">
        <v>522</v>
      </c>
      <c r="C54" s="381" t="s">
        <v>523</v>
      </c>
      <c r="D54" s="382" t="s">
        <v>522</v>
      </c>
      <c r="E54" s="409" t="str">
        <f>'PA Only - MRD Equipment List'!C47</f>
        <v/>
      </c>
      <c r="F54" s="1677" t="str">
        <f>'PA Only - MRD Equipment List'!N47</f>
        <v/>
      </c>
      <c r="G54" s="1678"/>
      <c r="H54" s="1679"/>
      <c r="I54" s="1679"/>
      <c r="J54" s="1679"/>
      <c r="K54" s="1679"/>
      <c r="L54" s="1679"/>
    </row>
    <row r="55" spans="1:12">
      <c r="A55" s="379" t="s">
        <v>521</v>
      </c>
      <c r="B55" s="380" t="s">
        <v>522</v>
      </c>
      <c r="C55" s="381" t="s">
        <v>523</v>
      </c>
      <c r="D55" s="382" t="s">
        <v>522</v>
      </c>
      <c r="E55" s="409" t="str">
        <f>'PA Only - MRD Equipment List'!C48</f>
        <v/>
      </c>
      <c r="F55" s="1677" t="str">
        <f>'PA Only - MRD Equipment List'!N48</f>
        <v/>
      </c>
      <c r="G55" s="1678"/>
      <c r="H55" s="1679"/>
      <c r="I55" s="1679"/>
      <c r="J55" s="1679"/>
      <c r="K55" s="1679"/>
      <c r="L55" s="1679"/>
    </row>
    <row r="56" spans="1:12">
      <c r="A56" s="379" t="s">
        <v>521</v>
      </c>
      <c r="B56" s="380" t="s">
        <v>522</v>
      </c>
      <c r="C56" s="381" t="s">
        <v>523</v>
      </c>
      <c r="D56" s="382" t="s">
        <v>522</v>
      </c>
      <c r="E56" s="409" t="str">
        <f>'PA Only - MRD Equipment List'!C49</f>
        <v/>
      </c>
      <c r="F56" s="1677" t="str">
        <f>'PA Only - MRD Equipment List'!N49</f>
        <v/>
      </c>
      <c r="G56" s="1678"/>
      <c r="H56" s="1679"/>
      <c r="I56" s="1679"/>
      <c r="J56" s="1679"/>
      <c r="K56" s="1679"/>
      <c r="L56" s="1679"/>
    </row>
    <row r="57" spans="1:12">
      <c r="A57" s="379" t="s">
        <v>521</v>
      </c>
      <c r="B57" s="380" t="s">
        <v>522</v>
      </c>
      <c r="C57" s="381" t="s">
        <v>523</v>
      </c>
      <c r="D57" s="382" t="s">
        <v>522</v>
      </c>
      <c r="E57" s="409" t="str">
        <f>'PA Only - MRD Equipment List'!C50</f>
        <v/>
      </c>
      <c r="F57" s="1677" t="str">
        <f>'PA Only - MRD Equipment List'!N50</f>
        <v/>
      </c>
      <c r="G57" s="1678"/>
      <c r="H57" s="1679"/>
      <c r="I57" s="1679"/>
      <c r="J57" s="1679"/>
      <c r="K57" s="1679"/>
      <c r="L57" s="1679"/>
    </row>
    <row r="58" spans="1:12">
      <c r="A58" s="379" t="s">
        <v>521</v>
      </c>
      <c r="B58" s="380" t="s">
        <v>522</v>
      </c>
      <c r="C58" s="381" t="s">
        <v>523</v>
      </c>
      <c r="D58" s="382" t="s">
        <v>522</v>
      </c>
      <c r="E58" s="409" t="str">
        <f>'PA Only - MRD Equipment List'!C51</f>
        <v/>
      </c>
      <c r="F58" s="1677" t="str">
        <f>'PA Only - MRD Equipment List'!N51</f>
        <v/>
      </c>
      <c r="G58" s="1678"/>
      <c r="H58" s="1679"/>
      <c r="I58" s="1679"/>
      <c r="J58" s="1679"/>
      <c r="K58" s="1679"/>
      <c r="L58" s="1679"/>
    </row>
    <row r="59" spans="1:12">
      <c r="A59" s="379" t="s">
        <v>521</v>
      </c>
      <c r="B59" s="380" t="s">
        <v>522</v>
      </c>
      <c r="C59" s="381" t="s">
        <v>523</v>
      </c>
      <c r="D59" s="382" t="s">
        <v>522</v>
      </c>
      <c r="E59" s="409" t="str">
        <f>'PA Only - MRD Equipment List'!C52</f>
        <v/>
      </c>
      <c r="F59" s="1677" t="str">
        <f>'PA Only - MRD Equipment List'!N52</f>
        <v/>
      </c>
      <c r="G59" s="1678"/>
      <c r="H59" s="1679"/>
      <c r="I59" s="1679"/>
      <c r="J59" s="1679"/>
      <c r="K59" s="1679"/>
      <c r="L59" s="1679"/>
    </row>
    <row r="60" spans="1:12">
      <c r="A60" s="379" t="s">
        <v>521</v>
      </c>
      <c r="B60" s="380" t="s">
        <v>522</v>
      </c>
      <c r="C60" s="381" t="s">
        <v>523</v>
      </c>
      <c r="D60" s="382" t="s">
        <v>522</v>
      </c>
      <c r="E60" s="409" t="str">
        <f>'PA Only - MRD Equipment List'!C53</f>
        <v/>
      </c>
      <c r="F60" s="1677" t="str">
        <f>'PA Only - MRD Equipment List'!N53</f>
        <v/>
      </c>
      <c r="G60" s="1678"/>
      <c r="H60" s="1679"/>
      <c r="I60" s="1679"/>
      <c r="J60" s="1679"/>
      <c r="K60" s="1679"/>
      <c r="L60" s="1679"/>
    </row>
    <row r="61" spans="1:12">
      <c r="A61" s="379" t="s">
        <v>521</v>
      </c>
      <c r="B61" s="380" t="s">
        <v>522</v>
      </c>
      <c r="C61" s="381" t="s">
        <v>523</v>
      </c>
      <c r="D61" s="382" t="s">
        <v>522</v>
      </c>
      <c r="E61" s="409" t="str">
        <f>'PA Only - MRD Equipment List'!C54</f>
        <v/>
      </c>
      <c r="F61" s="1677" t="str">
        <f>'PA Only - MRD Equipment List'!N54</f>
        <v/>
      </c>
      <c r="G61" s="1678"/>
      <c r="H61" s="1679"/>
      <c r="I61" s="1679"/>
      <c r="J61" s="1679"/>
      <c r="K61" s="1679"/>
      <c r="L61" s="1679"/>
    </row>
    <row r="62" spans="1:12" ht="15" customHeight="1" collapsed="1">
      <c r="A62" s="379" t="s">
        <v>521</v>
      </c>
      <c r="B62" s="380" t="s">
        <v>522</v>
      </c>
      <c r="C62" s="381" t="s">
        <v>523</v>
      </c>
      <c r="D62" s="382" t="s">
        <v>522</v>
      </c>
      <c r="E62" s="409" t="str">
        <f>'PA Only - MRD Equipment List'!C55</f>
        <v/>
      </c>
      <c r="F62" s="1677" t="str">
        <f>'PA Only - MRD Equipment List'!N55</f>
        <v/>
      </c>
      <c r="G62" s="1678"/>
      <c r="H62" s="1679"/>
      <c r="I62" s="1679"/>
      <c r="J62" s="1679"/>
      <c r="K62" s="1679"/>
      <c r="L62" s="1679"/>
    </row>
    <row r="63" spans="1:12" ht="15" customHeight="1">
      <c r="A63" s="379" t="s">
        <v>521</v>
      </c>
      <c r="B63" s="380" t="s">
        <v>522</v>
      </c>
      <c r="C63" s="381" t="s">
        <v>523</v>
      </c>
      <c r="D63" s="382" t="s">
        <v>522</v>
      </c>
      <c r="E63" s="409" t="str">
        <f>'PA Only - MRD Equipment List'!C56</f>
        <v/>
      </c>
      <c r="F63" s="1677" t="str">
        <f>'PA Only - MRD Equipment List'!N56</f>
        <v/>
      </c>
      <c r="G63" s="1678"/>
      <c r="H63" s="1679"/>
      <c r="I63" s="1679"/>
      <c r="J63" s="1679"/>
      <c r="K63" s="1679"/>
      <c r="L63" s="1679"/>
    </row>
    <row r="64" spans="1:12">
      <c r="A64" s="379" t="s">
        <v>521</v>
      </c>
      <c r="B64" s="380" t="s">
        <v>522</v>
      </c>
      <c r="C64" s="381" t="s">
        <v>523</v>
      </c>
      <c r="D64" s="382" t="s">
        <v>522</v>
      </c>
      <c r="E64" s="409" t="str">
        <f>'PA Only - MRD Equipment List'!C57</f>
        <v/>
      </c>
      <c r="F64" s="1677" t="str">
        <f>'PA Only - MRD Equipment List'!N57</f>
        <v/>
      </c>
      <c r="G64" s="1678"/>
      <c r="H64" s="1679"/>
      <c r="I64" s="1679"/>
      <c r="J64" s="1679"/>
      <c r="K64" s="1679"/>
      <c r="L64" s="1679"/>
    </row>
    <row r="65" spans="1:12">
      <c r="A65" s="379" t="s">
        <v>521</v>
      </c>
      <c r="B65" s="380" t="s">
        <v>522</v>
      </c>
      <c r="C65" s="381" t="s">
        <v>523</v>
      </c>
      <c r="D65" s="382" t="s">
        <v>522</v>
      </c>
      <c r="E65" s="409" t="str">
        <f>'PA Only - MRD Equipment List'!C58</f>
        <v/>
      </c>
      <c r="F65" s="1677" t="str">
        <f>'PA Only - MRD Equipment List'!N58</f>
        <v/>
      </c>
      <c r="G65" s="1678"/>
      <c r="H65" s="1679"/>
      <c r="I65" s="1679"/>
      <c r="J65" s="1679"/>
      <c r="K65" s="1679"/>
      <c r="L65" s="1679"/>
    </row>
    <row r="66" spans="1:12">
      <c r="A66" s="1686" t="s">
        <v>533</v>
      </c>
      <c r="B66" s="1686"/>
      <c r="C66" s="1686"/>
      <c r="D66" s="1686"/>
      <c r="E66" s="1686"/>
      <c r="F66" s="1686"/>
      <c r="G66" s="1686"/>
      <c r="H66" s="1686"/>
      <c r="I66" s="1686"/>
      <c r="J66" s="1686"/>
      <c r="K66" s="1686"/>
      <c r="L66" s="1686"/>
    </row>
    <row r="67" spans="1:12">
      <c r="A67" s="379" t="s">
        <v>521</v>
      </c>
      <c r="B67" s="380" t="s">
        <v>522</v>
      </c>
      <c r="C67" s="381" t="s">
        <v>523</v>
      </c>
      <c r="D67" s="382" t="s">
        <v>522</v>
      </c>
      <c r="E67" s="1699"/>
      <c r="F67" s="1699"/>
      <c r="G67" s="1699"/>
      <c r="H67" s="1699"/>
      <c r="I67" s="1699"/>
      <c r="J67" s="1699"/>
      <c r="K67" s="1699"/>
      <c r="L67" s="1699"/>
    </row>
    <row r="68" spans="1:12" ht="60.95" customHeight="1">
      <c r="A68" s="1682" t="s">
        <v>534</v>
      </c>
      <c r="B68" s="1683"/>
      <c r="C68" s="1683"/>
      <c r="D68" s="1683"/>
      <c r="E68" s="1683"/>
      <c r="F68" s="1683"/>
      <c r="G68" s="1683"/>
      <c r="H68" s="1683"/>
      <c r="I68" s="1683"/>
      <c r="J68" s="1683"/>
      <c r="K68" s="1683"/>
      <c r="L68" s="1684"/>
    </row>
    <row r="69" spans="1:12" ht="58.5" customHeight="1">
      <c r="A69" s="1681" t="s">
        <v>535</v>
      </c>
      <c r="B69" s="1681"/>
      <c r="C69" s="1681"/>
      <c r="D69" s="1681"/>
      <c r="E69" s="1681"/>
      <c r="F69" s="1681"/>
      <c r="G69" s="1681"/>
      <c r="H69" s="1681"/>
      <c r="I69" s="1681"/>
      <c r="J69" s="1681"/>
      <c r="K69" s="1681"/>
      <c r="L69" s="1681"/>
    </row>
    <row r="70" spans="1:12" ht="50.1" customHeight="1">
      <c r="A70" s="1680"/>
      <c r="B70" s="1680"/>
      <c r="C70" s="1680"/>
      <c r="D70" s="1680"/>
      <c r="E70" s="1680"/>
      <c r="F70" s="172"/>
      <c r="G70" s="1680"/>
      <c r="H70" s="1680"/>
      <c r="I70" s="1680"/>
      <c r="J70" s="172"/>
    </row>
    <row r="71" spans="1:12">
      <c r="A71" s="1680" t="s">
        <v>536</v>
      </c>
      <c r="B71" s="1680"/>
      <c r="C71" s="1680"/>
      <c r="D71" s="1680"/>
      <c r="E71" s="1680"/>
      <c r="F71" s="172" t="s">
        <v>537</v>
      </c>
      <c r="G71" s="1680" t="s">
        <v>538</v>
      </c>
      <c r="H71" s="1680"/>
      <c r="I71" s="1680"/>
      <c r="J71" s="172" t="s">
        <v>537</v>
      </c>
    </row>
    <row r="73" spans="1:12" ht="60.95" customHeight="1">
      <c r="A73" s="1685" t="s">
        <v>539</v>
      </c>
      <c r="B73" s="1685"/>
      <c r="C73" s="1685"/>
      <c r="D73" s="1685"/>
      <c r="E73" s="1685"/>
      <c r="F73" s="1685"/>
      <c r="G73" s="1685"/>
      <c r="H73" s="1685"/>
      <c r="I73" s="1685"/>
      <c r="J73" s="1685"/>
      <c r="K73" s="1685"/>
      <c r="L73" s="1685"/>
    </row>
    <row r="74" spans="1:12" ht="47.45" customHeight="1">
      <c r="A74" s="1680"/>
      <c r="B74" s="1680"/>
      <c r="C74" s="1680"/>
      <c r="D74" s="1680"/>
      <c r="E74" s="1680"/>
      <c r="F74" s="172"/>
      <c r="G74" s="1680"/>
      <c r="H74" s="1680"/>
      <c r="I74" s="1680"/>
      <c r="J74" s="172"/>
    </row>
    <row r="75" spans="1:12">
      <c r="A75" s="1680" t="s">
        <v>536</v>
      </c>
      <c r="B75" s="1680"/>
      <c r="C75" s="1680"/>
      <c r="D75" s="1680"/>
      <c r="E75" s="1680"/>
      <c r="F75" s="172" t="s">
        <v>537</v>
      </c>
      <c r="G75" s="1680" t="s">
        <v>538</v>
      </c>
      <c r="H75" s="1680"/>
      <c r="I75" s="1680"/>
      <c r="J75" s="172" t="s">
        <v>537</v>
      </c>
    </row>
  </sheetData>
  <sheetProtection formatColumns="0" formatRows="0" deleteRows="0"/>
  <mergeCells count="129">
    <mergeCell ref="H47:L47"/>
    <mergeCell ref="H14:L14"/>
    <mergeCell ref="A6:B6"/>
    <mergeCell ref="A7:B7"/>
    <mergeCell ref="A8:B8"/>
    <mergeCell ref="C8:L8"/>
    <mergeCell ref="H11:L11"/>
    <mergeCell ref="E11:G11"/>
    <mergeCell ref="H12:L12"/>
    <mergeCell ref="A10:L10"/>
    <mergeCell ref="E12:G12"/>
    <mergeCell ref="A13:L13"/>
    <mergeCell ref="F14:G14"/>
    <mergeCell ref="H15:L15"/>
    <mergeCell ref="H16:L16"/>
    <mergeCell ref="F28:G28"/>
    <mergeCell ref="F36:G36"/>
    <mergeCell ref="H36:L36"/>
    <mergeCell ref="F37:G37"/>
    <mergeCell ref="H45:L45"/>
    <mergeCell ref="F46:G46"/>
    <mergeCell ref="H46:L46"/>
    <mergeCell ref="F41:G41"/>
    <mergeCell ref="H41:L41"/>
    <mergeCell ref="F40:G40"/>
    <mergeCell ref="A2:L4"/>
    <mergeCell ref="A1:L1"/>
    <mergeCell ref="A9:L9"/>
    <mergeCell ref="F22:G22"/>
    <mergeCell ref="F23:G23"/>
    <mergeCell ref="H17:L17"/>
    <mergeCell ref="H18:L18"/>
    <mergeCell ref="H21:L21"/>
    <mergeCell ref="H22:L22"/>
    <mergeCell ref="I7:L7"/>
    <mergeCell ref="I6:L6"/>
    <mergeCell ref="C7:G7"/>
    <mergeCell ref="C6:G6"/>
    <mergeCell ref="H23:L23"/>
    <mergeCell ref="H27:L27"/>
    <mergeCell ref="H28:L28"/>
    <mergeCell ref="F24:G24"/>
    <mergeCell ref="F25:G25"/>
    <mergeCell ref="F26:G26"/>
    <mergeCell ref="F27:G27"/>
    <mergeCell ref="H24:L24"/>
    <mergeCell ref="H25:L25"/>
    <mergeCell ref="H26:L26"/>
    <mergeCell ref="E67:G67"/>
    <mergeCell ref="H67:L67"/>
    <mergeCell ref="E32:G32"/>
    <mergeCell ref="H20:L20"/>
    <mergeCell ref="E30:G30"/>
    <mergeCell ref="H52:L52"/>
    <mergeCell ref="F55:G55"/>
    <mergeCell ref="H53:L53"/>
    <mergeCell ref="F56:G56"/>
    <mergeCell ref="H54:L54"/>
    <mergeCell ref="F47:G47"/>
    <mergeCell ref="A66:L66"/>
    <mergeCell ref="H40:L40"/>
    <mergeCell ref="F44:G44"/>
    <mergeCell ref="H44:L44"/>
    <mergeCell ref="F45:G45"/>
    <mergeCell ref="F38:G38"/>
    <mergeCell ref="H38:L38"/>
    <mergeCell ref="F39:G39"/>
    <mergeCell ref="H39:L39"/>
    <mergeCell ref="F42:G42"/>
    <mergeCell ref="H42:L42"/>
    <mergeCell ref="F43:G43"/>
    <mergeCell ref="H43:L43"/>
    <mergeCell ref="H57:L57"/>
    <mergeCell ref="F54:G54"/>
    <mergeCell ref="H51:L51"/>
    <mergeCell ref="A50:L50"/>
    <mergeCell ref="F15:G15"/>
    <mergeCell ref="F16:G16"/>
    <mergeCell ref="F17:G17"/>
    <mergeCell ref="F18:G18"/>
    <mergeCell ref="F19:G19"/>
    <mergeCell ref="H19:L19"/>
    <mergeCell ref="A29:L29"/>
    <mergeCell ref="F20:G20"/>
    <mergeCell ref="F21:G21"/>
    <mergeCell ref="H37:L37"/>
    <mergeCell ref="H35:L35"/>
    <mergeCell ref="F35:G35"/>
    <mergeCell ref="E33:G33"/>
    <mergeCell ref="F48:G48"/>
    <mergeCell ref="H48:L48"/>
    <mergeCell ref="F49:G49"/>
    <mergeCell ref="H49:L49"/>
    <mergeCell ref="E31:G31"/>
    <mergeCell ref="E34:G34"/>
    <mergeCell ref="H30:L34"/>
    <mergeCell ref="A75:E75"/>
    <mergeCell ref="G75:I75"/>
    <mergeCell ref="A69:L69"/>
    <mergeCell ref="A68:L68"/>
    <mergeCell ref="A73:L73"/>
    <mergeCell ref="A71:E71"/>
    <mergeCell ref="A70:E70"/>
    <mergeCell ref="G71:I71"/>
    <mergeCell ref="G70:I70"/>
    <mergeCell ref="F51:G51"/>
    <mergeCell ref="F52:G52"/>
    <mergeCell ref="F53:G53"/>
    <mergeCell ref="F63:G63"/>
    <mergeCell ref="H61:L61"/>
    <mergeCell ref="F64:G64"/>
    <mergeCell ref="H62:L62"/>
    <mergeCell ref="A74:E74"/>
    <mergeCell ref="G74:I74"/>
    <mergeCell ref="F65:G65"/>
    <mergeCell ref="H63:L63"/>
    <mergeCell ref="F60:G60"/>
    <mergeCell ref="H58:L58"/>
    <mergeCell ref="F61:G61"/>
    <mergeCell ref="H59:L59"/>
    <mergeCell ref="F62:G62"/>
    <mergeCell ref="H60:L60"/>
    <mergeCell ref="F57:G57"/>
    <mergeCell ref="H64:L64"/>
    <mergeCell ref="H65:L65"/>
    <mergeCell ref="H55:L55"/>
    <mergeCell ref="F58:G58"/>
    <mergeCell ref="H56:L56"/>
    <mergeCell ref="F59:G59"/>
  </mergeCells>
  <pageMargins left="0.7" right="0.7" top="0.75" bottom="0.75" header="0.3" footer="0.3"/>
  <pageSetup scale="69" orientation="portrait" r:id="rId1"/>
  <rowBreaks count="3" manualBreakCount="3">
    <brk id="28" max="11" man="1"/>
    <brk id="49" max="11" man="1"/>
    <brk id="67"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5332D-50C8-4AB9-8C88-46F3A90B2A1D}">
  <sheetPr codeName="Sheet30">
    <tabColor theme="4" tint="-0.249977111117893"/>
  </sheetPr>
  <dimension ref="A1:W67"/>
  <sheetViews>
    <sheetView zoomScale="70" zoomScaleNormal="70" workbookViewId="0">
      <pane ySplit="870" topLeftCell="A3" activePane="bottomLeft"/>
      <selection pane="bottomLeft" activeCell="H49" sqref="H49:L49"/>
      <selection sqref="A1:XFD1048576"/>
    </sheetView>
  </sheetViews>
  <sheetFormatPr defaultRowHeight="14.45"/>
  <cols>
    <col min="2" max="2" width="16.5703125" customWidth="1"/>
    <col min="3" max="3" width="26.42578125" customWidth="1"/>
    <col min="4" max="4" width="12.7109375" customWidth="1"/>
    <col min="5" max="5" width="16.5703125" customWidth="1"/>
    <col min="6" max="6" width="15.42578125" customWidth="1"/>
    <col min="7" max="7" width="14.85546875" customWidth="1"/>
    <col min="8" max="8" width="15.140625" customWidth="1"/>
    <col min="9" max="9" width="15.42578125" customWidth="1"/>
    <col min="10" max="10" width="19" customWidth="1"/>
    <col min="20" max="20" width="42.85546875" bestFit="1" customWidth="1"/>
    <col min="21" max="21" width="10.5703125" customWidth="1"/>
  </cols>
  <sheetData>
    <row r="1" spans="1:23" s="147" customFormat="1" ht="24.95" customHeight="1">
      <c r="A1" s="150" t="s">
        <v>540</v>
      </c>
      <c r="C1" s="314"/>
      <c r="S1" s="335"/>
      <c r="U1" s="147" t="s">
        <v>541</v>
      </c>
      <c r="V1" s="147" t="s">
        <v>542</v>
      </c>
    </row>
    <row r="2" spans="1:23" s="147" customFormat="1" ht="24.95" customHeight="1">
      <c r="A2" s="150"/>
      <c r="B2" s="447"/>
      <c r="C2" s="447" t="s">
        <v>172</v>
      </c>
      <c r="D2" s="447" t="s">
        <v>543</v>
      </c>
      <c r="E2" s="447" t="s">
        <v>544</v>
      </c>
      <c r="F2" s="447" t="s">
        <v>545</v>
      </c>
      <c r="G2" s="447" t="s">
        <v>546</v>
      </c>
      <c r="H2" s="447" t="s">
        <v>547</v>
      </c>
      <c r="I2" s="884"/>
      <c r="R2" s="335"/>
      <c r="T2" s="372" t="s">
        <v>342</v>
      </c>
      <c r="U2" s="147">
        <v>1</v>
      </c>
      <c r="V2" s="147">
        <v>1</v>
      </c>
      <c r="W2" s="147" t="s">
        <v>548</v>
      </c>
    </row>
    <row r="3" spans="1:23" s="147" customFormat="1">
      <c r="A3" s="314"/>
      <c r="B3" s="778" t="s">
        <v>549</v>
      </c>
      <c r="C3" s="151" t="s">
        <v>550</v>
      </c>
      <c r="D3" s="151"/>
      <c r="E3" s="1721">
        <v>3000</v>
      </c>
      <c r="F3" s="1722"/>
      <c r="G3" s="164"/>
      <c r="H3" s="151"/>
      <c r="R3" s="335"/>
      <c r="T3" s="372" t="s">
        <v>345</v>
      </c>
      <c r="U3" s="147">
        <v>1</v>
      </c>
      <c r="V3" s="147">
        <v>1</v>
      </c>
      <c r="W3" s="147" t="s">
        <v>548</v>
      </c>
    </row>
    <row r="4" spans="1:23" s="147" customFormat="1">
      <c r="A4" s="314"/>
      <c r="B4" s="520"/>
      <c r="C4" s="151" t="s">
        <v>551</v>
      </c>
      <c r="D4" s="151"/>
      <c r="E4" s="1740">
        <v>0.01</v>
      </c>
      <c r="F4" s="1741"/>
      <c r="G4" s="164"/>
      <c r="H4" s="151"/>
      <c r="R4" s="335"/>
      <c r="T4" s="372"/>
    </row>
    <row r="5" spans="1:23" s="147" customFormat="1">
      <c r="A5" s="314"/>
      <c r="B5" s="779"/>
      <c r="C5" s="151" t="s">
        <v>552</v>
      </c>
      <c r="D5" s="151"/>
      <c r="E5" s="1721">
        <v>0.1</v>
      </c>
      <c r="F5" s="1722"/>
      <c r="G5" s="164"/>
      <c r="H5" s="151"/>
      <c r="R5" s="335"/>
      <c r="T5" s="372" t="s">
        <v>160</v>
      </c>
      <c r="V5" s="147">
        <v>1</v>
      </c>
    </row>
    <row r="6" spans="1:23" s="147" customFormat="1">
      <c r="A6" s="314"/>
      <c r="B6" s="778" t="s">
        <v>553</v>
      </c>
      <c r="C6" s="5" t="s">
        <v>325</v>
      </c>
      <c r="D6" s="151">
        <f>VLOOKUP(C6,'Equipment and SOO'!$B$80:$C$83,2,FALSE)</f>
        <v>2</v>
      </c>
      <c r="E6" s="774">
        <v>1</v>
      </c>
      <c r="F6" s="782">
        <v>1</v>
      </c>
      <c r="G6" s="151">
        <f>Assumptions!$D$104</f>
        <v>15</v>
      </c>
      <c r="H6" s="151"/>
      <c r="R6" s="335"/>
      <c r="T6" s="372" t="s">
        <v>175</v>
      </c>
      <c r="V6" s="147">
        <v>1</v>
      </c>
    </row>
    <row r="7" spans="1:23" s="147" customFormat="1">
      <c r="A7" s="314"/>
      <c r="B7" s="520"/>
      <c r="C7" s="5" t="s">
        <v>365</v>
      </c>
      <c r="D7" s="151">
        <f>VLOOKUP(C7,'Equipment and SOO'!$B$80:$C$83,2,FALSE)</f>
        <v>3</v>
      </c>
      <c r="E7" s="774">
        <v>0.5</v>
      </c>
      <c r="F7" s="782">
        <v>0.5</v>
      </c>
      <c r="G7" s="151">
        <f>Assumptions!$D$105</f>
        <v>5</v>
      </c>
      <c r="H7" s="151"/>
      <c r="R7" s="335"/>
      <c r="T7" s="372" t="s">
        <v>151</v>
      </c>
      <c r="U7" s="147">
        <v>1</v>
      </c>
    </row>
    <row r="8" spans="1:23" s="147" customFormat="1">
      <c r="A8" s="314"/>
      <c r="B8" s="779"/>
      <c r="C8" s="151" t="s">
        <v>366</v>
      </c>
      <c r="D8" s="151">
        <f>VLOOKUP(C8,'Equipment and SOO'!$B$80:$C$83,2,FALSE)</f>
        <v>1</v>
      </c>
      <c r="E8" s="777">
        <f>0.1*'User Inputs and Savings'!C41</f>
        <v>0</v>
      </c>
      <c r="F8" s="781">
        <f>'User Inputs and Savings'!C39*F6+(1-'User Inputs and Savings'!C39)*E8</f>
        <v>0</v>
      </c>
      <c r="G8" s="191">
        <f>'User Inputs and Savings'!C41</f>
        <v>0</v>
      </c>
      <c r="H8" s="151" t="s">
        <v>554</v>
      </c>
      <c r="R8" s="335"/>
      <c r="T8" s="372" t="s">
        <v>349</v>
      </c>
      <c r="U8" s="147">
        <v>1</v>
      </c>
      <c r="V8" s="147">
        <v>1</v>
      </c>
    </row>
    <row r="9" spans="1:23" s="147" customFormat="1">
      <c r="A9" s="314"/>
      <c r="B9" s="780" t="s">
        <v>555</v>
      </c>
      <c r="C9" s="151" t="s">
        <v>556</v>
      </c>
      <c r="D9" s="151"/>
      <c r="E9" s="902">
        <v>0.6</v>
      </c>
      <c r="F9" s="903"/>
      <c r="G9" s="151"/>
      <c r="H9" s="151"/>
      <c r="R9" s="335"/>
      <c r="T9" s="372" t="s">
        <v>177</v>
      </c>
      <c r="V9" s="147">
        <v>1</v>
      </c>
    </row>
    <row r="10" spans="1:23" s="147" customFormat="1">
      <c r="A10" s="314"/>
      <c r="C10" s="314"/>
      <c r="S10" s="335"/>
      <c r="T10" s="372" t="s">
        <v>352</v>
      </c>
      <c r="U10" s="147">
        <v>1</v>
      </c>
      <c r="V10" s="147">
        <v>1</v>
      </c>
    </row>
    <row r="11" spans="1:23" s="147" customFormat="1" ht="26.1">
      <c r="A11" s="150" t="s">
        <v>557</v>
      </c>
      <c r="C11" s="470"/>
      <c r="D11" s="521"/>
      <c r="E11" s="522"/>
      <c r="F11" s="522"/>
      <c r="G11" s="522"/>
      <c r="H11" s="522"/>
      <c r="I11" s="522"/>
      <c r="J11" s="522"/>
      <c r="S11" s="335"/>
      <c r="T11" s="373" t="s">
        <v>162</v>
      </c>
      <c r="V11" s="147">
        <v>1</v>
      </c>
    </row>
    <row r="12" spans="1:23" s="147" customFormat="1" ht="14.45" customHeight="1">
      <c r="B12" s="584"/>
      <c r="C12" s="447" t="s">
        <v>558</v>
      </c>
      <c r="D12" s="447" t="s">
        <v>559</v>
      </c>
      <c r="E12" s="452" t="s">
        <v>306</v>
      </c>
      <c r="F12" s="452" t="s">
        <v>307</v>
      </c>
      <c r="G12" s="452" t="s">
        <v>308</v>
      </c>
      <c r="H12" s="452" t="s">
        <v>309</v>
      </c>
      <c r="I12" s="452" t="s">
        <v>310</v>
      </c>
      <c r="J12" s="570" t="s">
        <v>364</v>
      </c>
      <c r="K12" s="570" t="s">
        <v>261</v>
      </c>
      <c r="L12" s="1737" t="s">
        <v>547</v>
      </c>
      <c r="M12" s="1738"/>
      <c r="N12" s="1738"/>
      <c r="O12" s="1738"/>
      <c r="P12" s="1739"/>
      <c r="T12" s="335"/>
    </row>
    <row r="13" spans="1:23" s="147" customFormat="1">
      <c r="B13" s="778" t="s">
        <v>268</v>
      </c>
      <c r="C13" s="929"/>
      <c r="D13" s="928"/>
      <c r="E13" s="891" t="e">
        <f>'Project Savings'!D21</f>
        <v>#N/A</v>
      </c>
      <c r="F13" s="891" t="e">
        <f>'Project Savings'!E21</f>
        <v>#N/A</v>
      </c>
      <c r="G13" s="891" t="e">
        <f>'Project Savings'!F21</f>
        <v>#N/A</v>
      </c>
      <c r="H13" s="891" t="e">
        <f>'Project Savings'!G21</f>
        <v>#N/A</v>
      </c>
      <c r="I13" s="891" t="e">
        <f>'Project Savings'!H21</f>
        <v>#N/A</v>
      </c>
      <c r="J13" s="927"/>
      <c r="K13" s="579"/>
      <c r="L13" s="580"/>
      <c r="M13" s="581"/>
      <c r="N13" s="581"/>
      <c r="O13" s="581"/>
      <c r="P13" s="582"/>
      <c r="T13" s="335"/>
    </row>
    <row r="14" spans="1:23" s="147" customFormat="1" ht="29.1">
      <c r="B14" s="590" t="s">
        <v>560</v>
      </c>
      <c r="C14" s="600" t="s">
        <v>561</v>
      </c>
      <c r="D14" s="921"/>
      <c r="E14" s="891">
        <f>'Project Savings'!D135</f>
        <v>0</v>
      </c>
      <c r="F14" s="891">
        <f>'Project Savings'!E135</f>
        <v>0</v>
      </c>
      <c r="G14" s="891">
        <f>'Project Savings'!F135</f>
        <v>0</v>
      </c>
      <c r="H14" s="891">
        <f>'Project Savings'!G135</f>
        <v>0</v>
      </c>
      <c r="I14" s="891">
        <f>'Project Savings'!H135</f>
        <v>0</v>
      </c>
      <c r="J14" s="617"/>
      <c r="K14" s="579"/>
      <c r="L14" s="1742" t="s">
        <v>562</v>
      </c>
      <c r="M14" s="1743"/>
      <c r="N14" s="1743"/>
      <c r="O14" s="1743"/>
      <c r="P14" s="1744"/>
      <c r="T14" s="700" t="s">
        <v>366</v>
      </c>
      <c r="U14" s="700">
        <v>1</v>
      </c>
    </row>
    <row r="15" spans="1:23" s="147" customFormat="1">
      <c r="B15" s="591"/>
      <c r="C15" s="601" t="s">
        <v>563</v>
      </c>
      <c r="D15" s="922"/>
      <c r="E15" s="899" t="e">
        <f>'Project Savings'!D136</f>
        <v>#N/A</v>
      </c>
      <c r="F15" s="899" t="e">
        <f>'Project Savings'!E136</f>
        <v>#N/A</v>
      </c>
      <c r="G15" s="899" t="e">
        <f>'Project Savings'!F136</f>
        <v>#N/A</v>
      </c>
      <c r="H15" s="899" t="e">
        <f>'Project Savings'!G136</f>
        <v>#N/A</v>
      </c>
      <c r="I15" s="899" t="e">
        <f>'Project Savings'!H136</f>
        <v>#N/A</v>
      </c>
      <c r="J15" s="900"/>
      <c r="K15" s="572"/>
      <c r="L15" s="1745"/>
      <c r="M15" s="1746"/>
      <c r="N15" s="1746"/>
      <c r="O15" s="1746"/>
      <c r="P15" s="1747"/>
      <c r="T15" s="700" t="s">
        <v>325</v>
      </c>
      <c r="U15" s="700">
        <v>2</v>
      </c>
    </row>
    <row r="16" spans="1:23" s="147" customFormat="1">
      <c r="B16" s="776"/>
      <c r="C16" s="601" t="s">
        <v>564</v>
      </c>
      <c r="D16" s="922"/>
      <c r="E16" s="892">
        <f>'Project Savings'!D137</f>
        <v>0</v>
      </c>
      <c r="F16" s="892">
        <f>'Project Savings'!E137</f>
        <v>0</v>
      </c>
      <c r="G16" s="892">
        <f>'Project Savings'!F137</f>
        <v>0</v>
      </c>
      <c r="H16" s="892">
        <f>'Project Savings'!G137</f>
        <v>0</v>
      </c>
      <c r="I16" s="892">
        <f>'Project Savings'!H137</f>
        <v>0</v>
      </c>
      <c r="J16" s="606"/>
      <c r="K16" s="571"/>
      <c r="L16" s="1745"/>
      <c r="M16" s="1746"/>
      <c r="N16" s="1746"/>
      <c r="O16" s="1746"/>
      <c r="P16" s="1747"/>
      <c r="T16" s="700" t="s">
        <v>365</v>
      </c>
      <c r="U16" s="700">
        <v>3</v>
      </c>
    </row>
    <row r="17" spans="2:20" s="147" customFormat="1">
      <c r="B17" s="776"/>
      <c r="C17" s="601" t="s">
        <v>565</v>
      </c>
      <c r="D17" s="922"/>
      <c r="E17" s="892" t="e">
        <f>'Project Savings'!D138</f>
        <v>#N/A</v>
      </c>
      <c r="F17" s="892" t="e">
        <f>'Project Savings'!E138</f>
        <v>#N/A</v>
      </c>
      <c r="G17" s="892" t="e">
        <f>'Project Savings'!F138</f>
        <v>#N/A</v>
      </c>
      <c r="H17" s="892" t="e">
        <f>'Project Savings'!G138</f>
        <v>#N/A</v>
      </c>
      <c r="I17" s="892" t="e">
        <f>'Project Savings'!H138</f>
        <v>#N/A</v>
      </c>
      <c r="J17" s="606"/>
      <c r="K17" s="571"/>
      <c r="L17" s="1745"/>
      <c r="M17" s="1746"/>
      <c r="N17" s="1746"/>
      <c r="O17" s="1746"/>
      <c r="P17" s="1747"/>
      <c r="T17" s="335"/>
    </row>
    <row r="18" spans="2:20" s="147" customFormat="1">
      <c r="B18" s="776"/>
      <c r="C18" s="917" t="s">
        <v>566</v>
      </c>
      <c r="D18" s="314"/>
      <c r="E18" s="919"/>
      <c r="F18" s="919"/>
      <c r="G18" s="919"/>
      <c r="H18" s="919"/>
      <c r="I18" s="919"/>
      <c r="J18" s="920">
        <f>IF(AND(SUM('User Inputs and Savings'!J60:J68)&gt;=2,'User Inputs and Savings'!C31="Yes"),1,0)</f>
        <v>0</v>
      </c>
      <c r="K18" s="918"/>
      <c r="L18" s="1745"/>
      <c r="M18" s="1746"/>
      <c r="N18" s="1746"/>
      <c r="O18" s="1746"/>
      <c r="P18" s="1747"/>
      <c r="T18" s="335"/>
    </row>
    <row r="19" spans="2:20" s="147" customFormat="1">
      <c r="B19" s="592"/>
      <c r="C19" s="603" t="s">
        <v>364</v>
      </c>
      <c r="D19" s="923"/>
      <c r="E19" s="893">
        <f>IFERROR('Project Savings'!D139,0)</f>
        <v>0</v>
      </c>
      <c r="F19" s="893">
        <f>IFERROR('Project Savings'!E139,0)</f>
        <v>0</v>
      </c>
      <c r="G19" s="893">
        <f>IFERROR('Project Savings'!F139,0)</f>
        <v>0</v>
      </c>
      <c r="H19" s="893">
        <f>IFERROR('Project Savings'!G139,0)</f>
        <v>0</v>
      </c>
      <c r="I19" s="893">
        <f>IFERROR('Project Savings'!H139,0)</f>
        <v>0</v>
      </c>
      <c r="J19" s="618"/>
      <c r="K19" s="583"/>
      <c r="L19" s="1748"/>
      <c r="M19" s="1749"/>
      <c r="N19" s="1749"/>
      <c r="O19" s="1749"/>
      <c r="P19" s="1750"/>
      <c r="T19" s="335"/>
    </row>
    <row r="20" spans="2:20" s="147" customFormat="1" ht="33.6" customHeight="1">
      <c r="B20" s="776" t="s">
        <v>567</v>
      </c>
      <c r="C20" s="601" t="s">
        <v>568</v>
      </c>
      <c r="D20" s="922">
        <v>3</v>
      </c>
      <c r="E20" s="775" t="e">
        <f>IF('Project Savings'!D21&gt;1,VLOOKUP('Project Savings'!D13,$C$6:$E$7,$D$20,FALSE)*$E$5,0)</f>
        <v>#N/A</v>
      </c>
      <c r="F20" s="775" t="e">
        <f>IF('Project Savings'!E21&gt;1,VLOOKUP('Project Savings'!E13,$C$6:$E$7,$D$20,FALSE)*$E$5,0)</f>
        <v>#N/A</v>
      </c>
      <c r="G20" s="775" t="e">
        <f>IF('Project Savings'!F21&gt;1,VLOOKUP('Project Savings'!F13,$C$6:$E$7,$D$20,FALSE)*$E$5,0)</f>
        <v>#N/A</v>
      </c>
      <c r="H20" s="775" t="e">
        <f>IF('Project Savings'!G21&gt;1,VLOOKUP('Project Savings'!G13,$C$6:$E$7,$D$20,FALSE)*$E$5,0)</f>
        <v>#N/A</v>
      </c>
      <c r="I20" s="775" t="e">
        <f>IF('Project Savings'!H21&gt;1,VLOOKUP('Project Savings'!H13,$C$6:$E$7,$D$20,FALSE)*$E$5,0)</f>
        <v>#N/A</v>
      </c>
      <c r="J20" s="606"/>
      <c r="K20" s="571"/>
      <c r="L20" s="524" t="s">
        <v>569</v>
      </c>
      <c r="M20" s="525"/>
      <c r="N20" s="525"/>
      <c r="O20" s="525"/>
      <c r="P20" s="526"/>
      <c r="T20" s="335"/>
    </row>
    <row r="21" spans="2:20" s="147" customFormat="1">
      <c r="B21" s="776"/>
      <c r="C21" s="601" t="s">
        <v>570</v>
      </c>
      <c r="D21" s="922"/>
      <c r="E21" s="775" t="e">
        <f>E20*E19</f>
        <v>#N/A</v>
      </c>
      <c r="F21" s="775" t="e">
        <f t="shared" ref="F21:I21" si="0">F20*F19</f>
        <v>#N/A</v>
      </c>
      <c r="G21" s="775" t="e">
        <f>G20*G19</f>
        <v>#N/A</v>
      </c>
      <c r="H21" s="775" t="e">
        <f t="shared" si="0"/>
        <v>#N/A</v>
      </c>
      <c r="I21" s="775" t="e">
        <f t="shared" si="0"/>
        <v>#N/A</v>
      </c>
      <c r="J21" s="606"/>
      <c r="K21" s="571"/>
      <c r="L21" s="524"/>
      <c r="M21" s="525"/>
      <c r="N21" s="525"/>
      <c r="O21" s="525"/>
      <c r="P21" s="526"/>
      <c r="T21" s="335"/>
    </row>
    <row r="22" spans="2:20" s="147" customFormat="1">
      <c r="B22" s="894"/>
      <c r="C22" s="905" t="s">
        <v>571</v>
      </c>
      <c r="D22" s="924"/>
      <c r="E22" s="906" t="e">
        <f>E21*'Project Savings'!D48</f>
        <v>#N/A</v>
      </c>
      <c r="F22" s="906" t="e">
        <f>F21*'Project Savings'!E48</f>
        <v>#N/A</v>
      </c>
      <c r="G22" s="906" t="e">
        <f>G21*'Project Savings'!F48</f>
        <v>#N/A</v>
      </c>
      <c r="H22" s="906" t="e">
        <f>H21*'Project Savings'!G48</f>
        <v>#N/A</v>
      </c>
      <c r="I22" s="906" t="e">
        <f>I21*'Project Savings'!H48</f>
        <v>#N/A</v>
      </c>
      <c r="J22" s="904" t="e">
        <f>SUM(E22:I22)</f>
        <v>#N/A</v>
      </c>
      <c r="K22" s="895"/>
      <c r="L22" s="896"/>
      <c r="M22" s="897"/>
      <c r="N22" s="897"/>
      <c r="O22" s="897"/>
      <c r="P22" s="898"/>
      <c r="T22" s="335"/>
    </row>
    <row r="23" spans="2:20" s="147" customFormat="1" ht="29.1">
      <c r="B23" s="776" t="s">
        <v>572</v>
      </c>
      <c r="C23" s="601" t="s">
        <v>573</v>
      </c>
      <c r="D23" s="922"/>
      <c r="E23" s="901" t="e">
        <f>IF('Project Savings'!D21=1,$E8*$E5,0)</f>
        <v>#N/A</v>
      </c>
      <c r="F23" s="901" t="e">
        <f>IF('Project Savings'!E21=1,$E8*$E5,0)</f>
        <v>#N/A</v>
      </c>
      <c r="G23" s="901" t="e">
        <f>IF('Project Savings'!F21=1,$E8*$E5,0)</f>
        <v>#N/A</v>
      </c>
      <c r="H23" s="901" t="e">
        <f>IF('Project Savings'!G21=1,$E8*$E5,0)</f>
        <v>#N/A</v>
      </c>
      <c r="I23" s="901" t="e">
        <f>IF('Project Savings'!H21=1,$E8*$E5,0)</f>
        <v>#N/A</v>
      </c>
      <c r="J23" s="606"/>
      <c r="K23" s="571"/>
      <c r="L23" s="524"/>
      <c r="M23" s="525"/>
      <c r="N23" s="525"/>
      <c r="O23" s="525"/>
      <c r="P23" s="526"/>
      <c r="T23" s="335"/>
    </row>
    <row r="24" spans="2:20" s="147" customFormat="1">
      <c r="B24" s="776"/>
      <c r="C24" s="601" t="s">
        <v>574</v>
      </c>
      <c r="D24" s="922"/>
      <c r="E24" s="901" t="e">
        <f>IF('Project Savings'!D21=1,$F8*$E5,0)</f>
        <v>#N/A</v>
      </c>
      <c r="F24" s="901" t="e">
        <f>IF('Project Savings'!E21=1,$F8*$E5,0)</f>
        <v>#N/A</v>
      </c>
      <c r="G24" s="901" t="e">
        <f>IF('Project Savings'!F21=1,$F8*$E5,0)</f>
        <v>#N/A</v>
      </c>
      <c r="H24" s="901" t="e">
        <f>IF('Project Savings'!G21=1,$F8*$E5,0)</f>
        <v>#N/A</v>
      </c>
      <c r="I24" s="901" t="e">
        <f>IF('Project Savings'!H21=1,$F8*$E5,0)</f>
        <v>#N/A</v>
      </c>
      <c r="J24" s="606"/>
      <c r="K24" s="571"/>
      <c r="L24" s="524"/>
      <c r="M24" s="525"/>
      <c r="N24" s="525"/>
      <c r="O24" s="525"/>
      <c r="P24" s="526"/>
      <c r="T24" s="335"/>
    </row>
    <row r="25" spans="2:20" s="147" customFormat="1">
      <c r="B25" s="776"/>
      <c r="C25" s="601" t="s">
        <v>575</v>
      </c>
      <c r="D25" s="922"/>
      <c r="E25" s="775" t="e">
        <f>E23*(E16+E17)*'Project Savings'!D48</f>
        <v>#N/A</v>
      </c>
      <c r="F25" s="775" t="e">
        <f>F23*(F16+F17)*'Project Savings'!E48</f>
        <v>#N/A</v>
      </c>
      <c r="G25" s="775" t="e">
        <f>G23*(G16+G17)*'Project Savings'!F48</f>
        <v>#N/A</v>
      </c>
      <c r="H25" s="775" t="e">
        <f>H23*(H16+H17)*'Project Savings'!G48</f>
        <v>#N/A</v>
      </c>
      <c r="I25" s="775" t="e">
        <f>I23*(I16+I17)*'Project Savings'!H48</f>
        <v>#N/A</v>
      </c>
      <c r="J25" s="606"/>
      <c r="K25" s="571"/>
      <c r="L25" s="524"/>
      <c r="M25" s="525"/>
      <c r="N25" s="525"/>
      <c r="O25" s="525"/>
      <c r="P25" s="526"/>
      <c r="T25" s="335"/>
    </row>
    <row r="26" spans="2:20" s="147" customFormat="1">
      <c r="B26" s="776"/>
      <c r="C26" s="601" t="s">
        <v>576</v>
      </c>
      <c r="D26" s="922"/>
      <c r="E26" s="775" t="e">
        <f>E24*(E14+E15)*'Project Savings'!D48</f>
        <v>#N/A</v>
      </c>
      <c r="F26" s="775" t="e">
        <f>F24*(F14+F15)*'Project Savings'!E48</f>
        <v>#N/A</v>
      </c>
      <c r="G26" s="775" t="e">
        <f>G24*(G14+G15)*'Project Savings'!F48</f>
        <v>#N/A</v>
      </c>
      <c r="H26" s="775" t="e">
        <f>H24*(H14+H15)*'Project Savings'!G48</f>
        <v>#N/A</v>
      </c>
      <c r="I26" s="775" t="e">
        <f>I24*(I14+I15)*'Project Savings'!H48</f>
        <v>#N/A</v>
      </c>
      <c r="J26" s="606"/>
      <c r="K26" s="571"/>
      <c r="L26" s="524"/>
      <c r="M26" s="525"/>
      <c r="N26" s="525"/>
      <c r="O26" s="525"/>
      <c r="P26" s="526"/>
      <c r="T26" s="335"/>
    </row>
    <row r="27" spans="2:20" s="147" customFormat="1">
      <c r="B27" s="894"/>
      <c r="C27" s="905" t="s">
        <v>571</v>
      </c>
      <c r="D27" s="924"/>
      <c r="E27" s="906">
        <f>IFERROR(E26+E25,0)</f>
        <v>0</v>
      </c>
      <c r="F27" s="906">
        <f t="shared" ref="F27:I27" si="1">IFERROR(F26+F25,0)</f>
        <v>0</v>
      </c>
      <c r="G27" s="906">
        <f t="shared" si="1"/>
        <v>0</v>
      </c>
      <c r="H27" s="906">
        <f t="shared" si="1"/>
        <v>0</v>
      </c>
      <c r="I27" s="906">
        <f t="shared" si="1"/>
        <v>0</v>
      </c>
      <c r="J27" s="904">
        <f>SUM(E27:I27)</f>
        <v>0</v>
      </c>
      <c r="K27" s="895"/>
      <c r="L27" s="896"/>
      <c r="M27" s="897"/>
      <c r="N27" s="897"/>
      <c r="O27" s="897"/>
      <c r="P27" s="898"/>
      <c r="T27" s="335"/>
    </row>
    <row r="28" spans="2:20" s="147" customFormat="1">
      <c r="B28" s="574" t="s">
        <v>577</v>
      </c>
      <c r="C28" s="600" t="s">
        <v>578</v>
      </c>
      <c r="D28" s="921"/>
      <c r="E28" s="593" t="e">
        <f>'User Inputs and Savings'!$D$25</f>
        <v>#N/A</v>
      </c>
      <c r="F28" s="578" t="e">
        <f>'User Inputs and Savings'!$D$25</f>
        <v>#N/A</v>
      </c>
      <c r="G28" s="578" t="e">
        <f>'User Inputs and Savings'!$D$25</f>
        <v>#N/A</v>
      </c>
      <c r="H28" s="578" t="e">
        <f>'User Inputs and Savings'!$D$25</f>
        <v>#N/A</v>
      </c>
      <c r="I28" s="578" t="e">
        <f>'User Inputs and Savings'!$D$25</f>
        <v>#N/A</v>
      </c>
      <c r="J28" s="607"/>
      <c r="K28" s="579"/>
      <c r="L28" s="580"/>
      <c r="M28" s="581"/>
      <c r="N28" s="581"/>
      <c r="O28" s="581"/>
      <c r="P28" s="582"/>
      <c r="T28" s="335"/>
    </row>
    <row r="29" spans="2:20" s="147" customFormat="1">
      <c r="B29" s="575"/>
      <c r="C29" s="601" t="s">
        <v>579</v>
      </c>
      <c r="D29" s="922"/>
      <c r="E29" s="594" t="e">
        <f>IF('Project Savings'!D26="ph7",Assumptions!$D$97,IF(OR('Project Savings'!D$26="ph5",'Project Savings'!D$26="ph6"),Assumptions!$D$98,0))*E28</f>
        <v>#N/A</v>
      </c>
      <c r="F29" s="567" t="e">
        <f>IF('Project Savings'!E26="ph7",Assumptions!$D$97,IF(OR('Project Savings'!E$26="ph5",'Project Savings'!E$26="ph6"),Assumptions!$D$98,0))*F28</f>
        <v>#N/A</v>
      </c>
      <c r="G29" s="567" t="e">
        <f>IF('Project Savings'!F26="ph7",Assumptions!$D$97,IF(OR('Project Savings'!F$26="ph5",'Project Savings'!F$26="ph6"),Assumptions!$D$98,0))*G28</f>
        <v>#N/A</v>
      </c>
      <c r="H29" s="567" t="e">
        <f>IF('Project Savings'!G26="ph7",Assumptions!$D$97,IF(OR('Project Savings'!G$26="ph5",'Project Savings'!G$26="ph6"),Assumptions!$D$98,0))*H28</f>
        <v>#N/A</v>
      </c>
      <c r="I29" s="567" t="e">
        <f>IF('Project Savings'!H26="ph7",Assumptions!$D$97,IF(OR('Project Savings'!H$26="ph5",'Project Savings'!H$26="ph6"),Assumptions!$D$98,0))*I28</f>
        <v>#N/A</v>
      </c>
      <c r="J29" s="608"/>
      <c r="K29" s="572"/>
      <c r="L29" s="524"/>
      <c r="M29" s="525"/>
      <c r="N29" s="525"/>
      <c r="O29" s="525"/>
      <c r="P29" s="526"/>
      <c r="T29" s="335"/>
    </row>
    <row r="30" spans="2:20" s="147" customFormat="1">
      <c r="B30" s="575"/>
      <c r="C30" s="602" t="s">
        <v>580</v>
      </c>
      <c r="D30" s="925"/>
      <c r="E30" s="595" t="e">
        <f>E28-E29</f>
        <v>#N/A</v>
      </c>
      <c r="F30" s="568" t="e">
        <f>F28-F29</f>
        <v>#N/A</v>
      </c>
      <c r="G30" s="568" t="e">
        <f>G28-G29</f>
        <v>#N/A</v>
      </c>
      <c r="H30" s="568" t="e">
        <f>H28-H29</f>
        <v>#N/A</v>
      </c>
      <c r="I30" s="568" t="e">
        <f>I28-I29</f>
        <v>#N/A</v>
      </c>
      <c r="J30" s="609"/>
      <c r="K30" s="573"/>
      <c r="L30" s="1723"/>
      <c r="M30" s="1724"/>
      <c r="N30" s="1724"/>
      <c r="O30" s="1724"/>
      <c r="P30" s="1725"/>
      <c r="T30" s="335"/>
    </row>
    <row r="31" spans="2:20" s="147" customFormat="1">
      <c r="B31" s="576"/>
      <c r="C31" s="603" t="s">
        <v>581</v>
      </c>
      <c r="D31" s="923"/>
      <c r="E31" s="596" t="e">
        <f>'User Inputs and Savings'!$D$26</f>
        <v>#N/A</v>
      </c>
      <c r="F31" s="569" t="e">
        <f>'User Inputs and Savings'!$D$26</f>
        <v>#N/A</v>
      </c>
      <c r="G31" s="569" t="e">
        <f>'User Inputs and Savings'!$D$26</f>
        <v>#N/A</v>
      </c>
      <c r="H31" s="569" t="e">
        <f>'User Inputs and Savings'!$D$26</f>
        <v>#N/A</v>
      </c>
      <c r="I31" s="569" t="e">
        <f>'User Inputs and Savings'!$D$26</f>
        <v>#N/A</v>
      </c>
      <c r="J31" s="610"/>
      <c r="K31" s="583"/>
      <c r="L31" s="1731"/>
      <c r="M31" s="1732"/>
      <c r="N31" s="1732"/>
      <c r="O31" s="1732"/>
      <c r="P31" s="1733"/>
      <c r="T31" s="335"/>
    </row>
    <row r="32" spans="2:20" s="147" customFormat="1">
      <c r="B32" s="574" t="s">
        <v>582</v>
      </c>
      <c r="C32" s="600" t="s">
        <v>583</v>
      </c>
      <c r="D32" s="921"/>
      <c r="E32" s="593" t="str">
        <f>IFERROR((((E30/'Project Savings'!D59)*'Project Savings'!D132+IFERROR((E29/'Project Savings'!D58)*'Project Savings'!D133,0)))/'Project Savings'!$D$7,"")</f>
        <v/>
      </c>
      <c r="F32" s="593" t="str">
        <f>IFERROR((((F30/'Project Savings'!E59)*'Project Savings'!E132+IFERROR((F29/'Project Savings'!E58)*'Project Savings'!E133,0)))/'Project Savings'!$D$7,"")</f>
        <v/>
      </c>
      <c r="G32" s="593" t="str">
        <f>IFERROR((((G30/'Project Savings'!F59)*'Project Savings'!F132+IFERROR((G29/'Project Savings'!F58)*'Project Savings'!F133,0)))/'Project Savings'!$D$7,"")</f>
        <v/>
      </c>
      <c r="H32" s="593" t="str">
        <f>IFERROR((((H30/'Project Savings'!G59)*'Project Savings'!G132+IFERROR((H29/'Project Savings'!G58)*'Project Savings'!G133,0)))/'Project Savings'!$D$7,"")</f>
        <v/>
      </c>
      <c r="I32" s="593" t="str">
        <f>IFERROR((((I30/'Project Savings'!H59)*'Project Savings'!H132+IFERROR((I29/'Project Savings'!H58)*'Project Savings'!H133,0)))/'Project Savings'!$D$7,"")</f>
        <v/>
      </c>
      <c r="J32" s="611">
        <f>SUM(E32:I32)</f>
        <v>0</v>
      </c>
      <c r="K32" s="579" t="s">
        <v>253</v>
      </c>
      <c r="L32" s="580" t="s">
        <v>584</v>
      </c>
      <c r="M32" s="581"/>
      <c r="N32" s="581"/>
      <c r="O32" s="581"/>
      <c r="P32" s="582"/>
      <c r="T32" s="335"/>
    </row>
    <row r="33" spans="1:20" s="147" customFormat="1">
      <c r="B33" s="575"/>
      <c r="C33" s="602" t="s">
        <v>585</v>
      </c>
      <c r="D33" s="925"/>
      <c r="E33" s="595" t="str">
        <f>IFERROR((((E30/'Project Savings'!D59)*SUM('Project Savings'!D104:D110)+IFERROR((E29/'Project Savings'!D58)*SUM('Project Savings'!D113:D119),0)))/'Project Savings'!$D$7,"")</f>
        <v/>
      </c>
      <c r="F33" s="595" t="str">
        <f>IFERROR((((F30/'Project Savings'!E59)*SUM('Project Savings'!E104:E110)+IFERROR((F29/'Project Savings'!E58)*SUM('Project Savings'!E113:E119),0)))/'Project Savings'!$D$7,"")</f>
        <v/>
      </c>
      <c r="G33" s="595" t="str">
        <f>IFERROR((((G30/'Project Savings'!F59)*SUM('Project Savings'!F104:F110)+IFERROR((G29/'Project Savings'!F58)*SUM('Project Savings'!F113:F119),0)))/'Project Savings'!$D$7,"")</f>
        <v/>
      </c>
      <c r="H33" s="595" t="str">
        <f>IFERROR((((H30/'Project Savings'!G59)*SUM('Project Savings'!G104:G110)+IFERROR((H29/'Project Savings'!G58)*SUM('Project Savings'!G113:G119),0)))/'Project Savings'!$D$7,"")</f>
        <v/>
      </c>
      <c r="I33" s="595" t="str">
        <f>IFERROR((((I30/'Project Savings'!H59)*SUM('Project Savings'!H104:H110)+IFERROR((I29/'Project Savings'!H58)*SUM('Project Savings'!H113:H119),0)))/'Project Savings'!$D$7,"")</f>
        <v/>
      </c>
      <c r="J33" s="612">
        <f t="shared" ref="J33:J35" si="2">SUM(E33:I33)</f>
        <v>0</v>
      </c>
      <c r="K33" s="573" t="s">
        <v>253</v>
      </c>
      <c r="L33" s="1723"/>
      <c r="M33" s="1724"/>
      <c r="N33" s="1724"/>
      <c r="O33" s="1724"/>
      <c r="P33" s="1725"/>
      <c r="T33" s="335"/>
    </row>
    <row r="34" spans="1:20" s="147" customFormat="1">
      <c r="B34" s="575"/>
      <c r="C34" s="604" t="s">
        <v>586</v>
      </c>
      <c r="D34" s="926"/>
      <c r="E34" s="597" t="str">
        <f>IFERROR(E33*Assumptions!$D$99/Assumptions!$D$101,"")</f>
        <v/>
      </c>
      <c r="F34" s="597" t="str">
        <f>IFERROR(F33*Assumptions!$D$99/Assumptions!$D$101,"")</f>
        <v/>
      </c>
      <c r="G34" s="597" t="str">
        <f>IFERROR(G33*Assumptions!$D$99/Assumptions!$D$101,"")</f>
        <v/>
      </c>
      <c r="H34" s="597" t="str">
        <f>IFERROR(H33*Assumptions!$D$99/Assumptions!$D$101,"")</f>
        <v/>
      </c>
      <c r="I34" s="597" t="str">
        <f>IFERROR(I33*Assumptions!$D$99/Assumptions!$D$101,"")</f>
        <v/>
      </c>
      <c r="J34" s="613">
        <f t="shared" si="2"/>
        <v>0</v>
      </c>
      <c r="K34" s="577" t="s">
        <v>587</v>
      </c>
      <c r="L34" s="585"/>
      <c r="M34" s="586"/>
      <c r="N34" s="586"/>
      <c r="O34" s="586"/>
      <c r="P34" s="587"/>
      <c r="T34" s="335"/>
    </row>
    <row r="35" spans="1:20" s="147" customFormat="1">
      <c r="B35" s="575"/>
      <c r="C35" s="604" t="s">
        <v>588</v>
      </c>
      <c r="D35" s="926"/>
      <c r="E35" s="597" t="str">
        <f>IFERROR(((E31/'Project Savings'!D56)*'Project Savings'!D134)/1000,"")</f>
        <v/>
      </c>
      <c r="F35" s="597" t="str">
        <f>IFERROR(((F31/'Project Savings'!E56)*'Project Savings'!E134)/1000,"")</f>
        <v/>
      </c>
      <c r="G35" s="597" t="str">
        <f>IFERROR(((G31/'Project Savings'!F56)*'Project Savings'!F134)/1000,"")</f>
        <v/>
      </c>
      <c r="H35" s="597" t="str">
        <f>IFERROR(((H31/'Project Savings'!G56)*'Project Savings'!G134)/1000,"")</f>
        <v/>
      </c>
      <c r="I35" s="597" t="str">
        <f>IFERROR(((I31/'Project Savings'!H56)*'Project Savings'!H134)/1000,"")</f>
        <v/>
      </c>
      <c r="J35" s="614">
        <f t="shared" si="2"/>
        <v>0</v>
      </c>
      <c r="K35" s="577" t="s">
        <v>589</v>
      </c>
      <c r="L35" s="1734"/>
      <c r="M35" s="1735"/>
      <c r="N35" s="1735"/>
      <c r="O35" s="1735"/>
      <c r="P35" s="1736"/>
      <c r="T35" s="335"/>
    </row>
    <row r="36" spans="1:20" s="147" customFormat="1">
      <c r="B36" s="590" t="s">
        <v>590</v>
      </c>
      <c r="C36" s="600" t="s">
        <v>591</v>
      </c>
      <c r="D36" s="921">
        <v>4</v>
      </c>
      <c r="E36" s="605" t="e">
        <f>VLOOKUP('Project Savings'!D21,'Incentive Calc'!$D$6:$G$8,$D$36,FALSE)</f>
        <v>#N/A</v>
      </c>
      <c r="F36" s="605" t="e">
        <f>VLOOKUP('Project Savings'!E21,'Incentive Calc'!$D$6:$G$8,$D$36,FALSE)</f>
        <v>#N/A</v>
      </c>
      <c r="G36" s="605" t="e">
        <f>VLOOKUP('Project Savings'!F21,'Incentive Calc'!$D$6:$G$8,$D$36,FALSE)</f>
        <v>#N/A</v>
      </c>
      <c r="H36" s="605" t="e">
        <f>VLOOKUP('Project Savings'!G21,'Incentive Calc'!$D$6:$G$8,$D$36,FALSE)</f>
        <v>#N/A</v>
      </c>
      <c r="I36" s="605" t="e">
        <f>VLOOKUP('Project Savings'!H21,'Incentive Calc'!$D$6:$G$8,$D$36,FALSE)</f>
        <v>#N/A</v>
      </c>
      <c r="J36" s="605"/>
      <c r="K36" s="579"/>
      <c r="L36" s="1751" t="s">
        <v>592</v>
      </c>
      <c r="M36" s="1752"/>
      <c r="N36" s="1752"/>
      <c r="O36" s="1752"/>
      <c r="P36" s="1753"/>
      <c r="Q36" s="167"/>
      <c r="T36" s="335"/>
    </row>
    <row r="37" spans="1:20" s="147" customFormat="1">
      <c r="B37" s="591"/>
      <c r="C37" s="602" t="s">
        <v>253</v>
      </c>
      <c r="D37" s="925">
        <v>2</v>
      </c>
      <c r="E37" s="598" t="str">
        <f>IFERROR(VLOOKUP(E$36,$B$61:$E$67,$D37,FALSE)*E32,"")</f>
        <v/>
      </c>
      <c r="F37" s="598" t="str">
        <f>IFERROR(VLOOKUP(F$36,$B$61:$E$67,$D37,FALSE)*F32,"")</f>
        <v/>
      </c>
      <c r="G37" s="598" t="str">
        <f>IFERROR(VLOOKUP(G$36,$B$61:$E$67,$D37,FALSE)*G32,"")</f>
        <v/>
      </c>
      <c r="H37" s="598" t="str">
        <f>IFERROR(VLOOKUP(H$36,$B$61:$E$67,$D37,FALSE)*H32,"")</f>
        <v/>
      </c>
      <c r="I37" s="598" t="str">
        <f>IFERROR(VLOOKUP(I$36,$B$61:$E$67,$D37,FALSE)*I32,"")</f>
        <v/>
      </c>
      <c r="J37" s="615">
        <f>SUM(E37:I37)</f>
        <v>0</v>
      </c>
      <c r="K37" s="573" t="s">
        <v>593</v>
      </c>
      <c r="L37" s="1723"/>
      <c r="M37" s="1724"/>
      <c r="N37" s="1724"/>
      <c r="O37" s="1724"/>
      <c r="P37" s="1725"/>
      <c r="T37" s="335"/>
    </row>
    <row r="38" spans="1:20" s="147" customFormat="1">
      <c r="B38" s="591"/>
      <c r="C38" s="602" t="s">
        <v>587</v>
      </c>
      <c r="D38" s="925">
        <v>3</v>
      </c>
      <c r="E38" s="598" t="str">
        <f t="shared" ref="E38:I39" si="3">IFERROR(VLOOKUP(E$36,$B$61:$E$67,$D38,FALSE)*E34,"")</f>
        <v/>
      </c>
      <c r="F38" s="598" t="str">
        <f t="shared" si="3"/>
        <v/>
      </c>
      <c r="G38" s="598" t="str">
        <f t="shared" si="3"/>
        <v/>
      </c>
      <c r="H38" s="598" t="str">
        <f t="shared" si="3"/>
        <v/>
      </c>
      <c r="I38" s="598" t="str">
        <f t="shared" si="3"/>
        <v/>
      </c>
      <c r="J38" s="615">
        <f t="shared" ref="J38:J39" si="4">SUM(E38:I38)</f>
        <v>0</v>
      </c>
      <c r="K38" s="573" t="s">
        <v>593</v>
      </c>
      <c r="L38" s="1723"/>
      <c r="M38" s="1724"/>
      <c r="N38" s="1724"/>
      <c r="O38" s="1724"/>
      <c r="P38" s="1725"/>
      <c r="T38" s="335"/>
    </row>
    <row r="39" spans="1:20" s="147" customFormat="1">
      <c r="B39" s="591"/>
      <c r="C39" s="602" t="s">
        <v>594</v>
      </c>
      <c r="D39" s="925">
        <v>4</v>
      </c>
      <c r="E39" s="598" t="str">
        <f t="shared" si="3"/>
        <v/>
      </c>
      <c r="F39" s="598" t="str">
        <f t="shared" si="3"/>
        <v/>
      </c>
      <c r="G39" s="598" t="str">
        <f t="shared" si="3"/>
        <v/>
      </c>
      <c r="H39" s="598" t="str">
        <f t="shared" si="3"/>
        <v/>
      </c>
      <c r="I39" s="598" t="str">
        <f t="shared" si="3"/>
        <v/>
      </c>
      <c r="J39" s="615">
        <f t="shared" si="4"/>
        <v>0</v>
      </c>
      <c r="K39" s="573" t="s">
        <v>593</v>
      </c>
      <c r="L39" s="1723"/>
      <c r="M39" s="1724"/>
      <c r="N39" s="1724"/>
      <c r="O39" s="1724"/>
      <c r="P39" s="1725"/>
      <c r="T39" s="335"/>
    </row>
    <row r="40" spans="1:20" s="147" customFormat="1">
      <c r="B40" s="592"/>
      <c r="C40" s="603" t="s">
        <v>364</v>
      </c>
      <c r="D40" s="923"/>
      <c r="E40" s="599">
        <f>SUM(E37:E39)</f>
        <v>0</v>
      </c>
      <c r="F40" s="588">
        <f t="shared" ref="F40:J40" si="5">SUM(F37:F39)</f>
        <v>0</v>
      </c>
      <c r="G40" s="588">
        <f t="shared" si="5"/>
        <v>0</v>
      </c>
      <c r="H40" s="588">
        <f t="shared" si="5"/>
        <v>0</v>
      </c>
      <c r="I40" s="588">
        <f t="shared" si="5"/>
        <v>0</v>
      </c>
      <c r="J40" s="616">
        <f t="shared" si="5"/>
        <v>0</v>
      </c>
      <c r="K40" s="573" t="s">
        <v>593</v>
      </c>
      <c r="L40" s="1726"/>
      <c r="M40" s="1727"/>
      <c r="N40" s="1727"/>
      <c r="O40" s="1727"/>
      <c r="P40" s="1728"/>
      <c r="T40" s="335"/>
    </row>
    <row r="41" spans="1:20" s="147" customFormat="1">
      <c r="C41" s="314"/>
      <c r="S41" s="335"/>
    </row>
    <row r="42" spans="1:20" s="147" customFormat="1" ht="26.1">
      <c r="A42" s="150" t="s">
        <v>595</v>
      </c>
      <c r="C42" s="314"/>
      <c r="S42" s="335"/>
    </row>
    <row r="43" spans="1:20" s="147" customFormat="1" ht="14.45" customHeight="1">
      <c r="B43" s="584"/>
      <c r="C43" s="930" t="s">
        <v>172</v>
      </c>
      <c r="D43" s="930" t="s">
        <v>559</v>
      </c>
      <c r="E43" s="931" t="s">
        <v>364</v>
      </c>
      <c r="F43" s="931" t="s">
        <v>578</v>
      </c>
      <c r="G43" s="931" t="s">
        <v>594</v>
      </c>
      <c r="H43" s="1718" t="s">
        <v>547</v>
      </c>
      <c r="I43" s="1719"/>
      <c r="J43" s="1719"/>
      <c r="K43" s="1719"/>
      <c r="L43" s="1720"/>
      <c r="P43" s="335"/>
    </row>
    <row r="44" spans="1:20" s="147" customFormat="1">
      <c r="B44" s="778" t="s">
        <v>596</v>
      </c>
      <c r="C44" s="934" t="s">
        <v>597</v>
      </c>
      <c r="D44" s="934"/>
      <c r="E44" s="935"/>
      <c r="F44" s="589" t="e">
        <f>(J38+J37)/J40</f>
        <v>#DIV/0!</v>
      </c>
      <c r="G44" s="589" t="e">
        <f>1-F44</f>
        <v>#DIV/0!</v>
      </c>
      <c r="H44" s="1729" t="s">
        <v>598</v>
      </c>
      <c r="I44" s="1729"/>
      <c r="J44" s="1729"/>
      <c r="K44" s="1729"/>
      <c r="L44" s="1730"/>
      <c r="P44" s="335"/>
    </row>
    <row r="45" spans="1:20" s="147" customFormat="1">
      <c r="B45" s="520"/>
      <c r="C45" s="329" t="s">
        <v>599</v>
      </c>
      <c r="D45" s="329"/>
      <c r="E45" s="932">
        <f>('User Inputs and Savings'!J33*'User Inputs and Savings'!C34+'User Inputs and Savings'!J38*('User Inputs and Savings'!C42+'User Inputs and Savings'!C41*'User Inputs and Savings'!C43))*E9</f>
        <v>0</v>
      </c>
      <c r="F45" s="888"/>
      <c r="G45" s="888"/>
      <c r="H45" s="1714" t="s">
        <v>600</v>
      </c>
      <c r="I45" s="1714"/>
      <c r="J45" s="1714"/>
      <c r="K45" s="1714"/>
      <c r="L45" s="1715"/>
      <c r="P45" s="335"/>
    </row>
    <row r="46" spans="1:20" s="147" customFormat="1">
      <c r="B46" s="520"/>
      <c r="C46" s="329" t="s">
        <v>601</v>
      </c>
      <c r="D46" s="329"/>
      <c r="E46" s="932">
        <f>E3*J18</f>
        <v>0</v>
      </c>
      <c r="F46" s="888"/>
      <c r="G46" s="888"/>
      <c r="H46" s="1714" t="s">
        <v>602</v>
      </c>
      <c r="I46" s="1714"/>
      <c r="J46" s="1714"/>
      <c r="K46" s="1714"/>
      <c r="L46" s="1715"/>
      <c r="P46" s="335"/>
    </row>
    <row r="47" spans="1:20" s="147" customFormat="1" ht="29.1">
      <c r="B47" s="520"/>
      <c r="C47" s="329" t="s">
        <v>603</v>
      </c>
      <c r="D47" s="329"/>
      <c r="E47" s="936" t="e">
        <f>J27+J22</f>
        <v>#N/A</v>
      </c>
      <c r="F47" s="933"/>
      <c r="G47" s="933"/>
      <c r="H47" s="1714" t="s">
        <v>604</v>
      </c>
      <c r="I47" s="1714"/>
      <c r="J47" s="1714"/>
      <c r="K47" s="1714"/>
      <c r="L47" s="1715"/>
      <c r="P47" s="335"/>
    </row>
    <row r="48" spans="1:20" s="147" customFormat="1">
      <c r="B48" s="520"/>
      <c r="C48" s="329" t="s">
        <v>605</v>
      </c>
      <c r="D48" s="329"/>
      <c r="E48" s="936" t="e">
        <f>MIN(E47,E45)</f>
        <v>#N/A</v>
      </c>
      <c r="F48" s="933"/>
      <c r="G48" s="933"/>
      <c r="H48" s="1714" t="s">
        <v>606</v>
      </c>
      <c r="I48" s="1714"/>
      <c r="J48" s="1714"/>
      <c r="K48" s="1714"/>
      <c r="L48" s="1715"/>
      <c r="P48" s="335"/>
    </row>
    <row r="49" spans="1:19" s="147" customFormat="1">
      <c r="B49" s="779"/>
      <c r="C49" s="449" t="s">
        <v>607</v>
      </c>
      <c r="D49" s="449"/>
      <c r="E49" s="937"/>
      <c r="F49" s="588" t="e">
        <f>E48*F44</f>
        <v>#N/A</v>
      </c>
      <c r="G49" s="588" t="e">
        <f>E48*G44</f>
        <v>#N/A</v>
      </c>
      <c r="H49" s="1716"/>
      <c r="I49" s="1716"/>
      <c r="J49" s="1716"/>
      <c r="K49" s="1716"/>
      <c r="L49" s="1717"/>
      <c r="P49" s="335"/>
    </row>
    <row r="50" spans="1:19" s="147" customFormat="1">
      <c r="C50" s="314"/>
      <c r="D50" s="314"/>
      <c r="E50" s="948"/>
      <c r="F50" s="521"/>
      <c r="G50" s="521"/>
      <c r="H50" s="335"/>
      <c r="I50" s="335"/>
      <c r="J50" s="335"/>
      <c r="K50" s="335"/>
      <c r="L50" s="335"/>
      <c r="P50" s="335"/>
    </row>
    <row r="51" spans="1:19" s="147" customFormat="1" ht="26.1">
      <c r="A51" s="150" t="s">
        <v>608</v>
      </c>
      <c r="C51" s="314"/>
      <c r="S51" s="335"/>
    </row>
    <row r="52" spans="1:19" s="147" customFormat="1" ht="30.95" customHeight="1">
      <c r="B52" s="584"/>
      <c r="C52" s="930" t="s">
        <v>268</v>
      </c>
      <c r="D52" s="930" t="s">
        <v>559</v>
      </c>
      <c r="E52" s="930" t="s">
        <v>590</v>
      </c>
      <c r="F52" s="930" t="s">
        <v>609</v>
      </c>
      <c r="G52" s="930" t="s">
        <v>610</v>
      </c>
      <c r="H52" s="930" t="s">
        <v>578</v>
      </c>
      <c r="I52" s="930" t="s">
        <v>594</v>
      </c>
      <c r="J52" s="1718" t="s">
        <v>547</v>
      </c>
      <c r="K52" s="1719"/>
      <c r="L52" s="1719"/>
      <c r="M52" s="1719"/>
      <c r="N52" s="1720"/>
    </row>
    <row r="53" spans="1:19" s="147" customFormat="1">
      <c r="B53" s="520"/>
      <c r="C53" s="372" t="s">
        <v>611</v>
      </c>
      <c r="D53" s="938"/>
      <c r="E53" s="936"/>
      <c r="F53" s="334"/>
      <c r="G53" s="932"/>
      <c r="H53" s="932">
        <f>E3*J18</f>
        <v>0</v>
      </c>
      <c r="I53" s="932"/>
      <c r="J53" s="1714"/>
      <c r="K53" s="1714"/>
      <c r="L53" s="1714"/>
      <c r="M53" s="1714"/>
      <c r="N53" s="1715"/>
    </row>
    <row r="54" spans="1:19" s="147" customFormat="1">
      <c r="B54" s="520"/>
      <c r="C54" s="372" t="s">
        <v>612</v>
      </c>
      <c r="D54" s="938">
        <v>2</v>
      </c>
      <c r="E54" s="936">
        <f>SUMIF($E$13:$I$13,D54,$E$40:$I$40)</f>
        <v>0</v>
      </c>
      <c r="F54" s="334" t="e">
        <f>E54/SUM($E$54:$E$56)</f>
        <v>#DIV/0!</v>
      </c>
      <c r="G54" s="932" t="e">
        <f>F54*($E$48)</f>
        <v>#DIV/0!</v>
      </c>
      <c r="H54" s="932" t="e">
        <f>$G54*F$44</f>
        <v>#DIV/0!</v>
      </c>
      <c r="I54" s="932" t="e">
        <f>$G54*G$44</f>
        <v>#DIV/0!</v>
      </c>
      <c r="J54" s="1714"/>
      <c r="K54" s="1714"/>
      <c r="L54" s="1714"/>
      <c r="M54" s="1714"/>
      <c r="N54" s="1715"/>
    </row>
    <row r="55" spans="1:19" s="147" customFormat="1">
      <c r="B55" s="520"/>
      <c r="C55" s="372" t="s">
        <v>613</v>
      </c>
      <c r="D55" s="938">
        <v>3</v>
      </c>
      <c r="E55" s="936">
        <f t="shared" ref="E55:E56" si="6">SUMIF($E$13:$I$13,D55,$E$40:$I$40)</f>
        <v>0</v>
      </c>
      <c r="F55" s="334" t="e">
        <f t="shared" ref="F55:F56" si="7">E55/SUM($E$54:$E$56)</f>
        <v>#DIV/0!</v>
      </c>
      <c r="G55" s="932" t="e">
        <f>F55*($E$48)</f>
        <v>#DIV/0!</v>
      </c>
      <c r="H55" s="932" t="e">
        <f t="shared" ref="H55:I56" si="8">$G55*F$44</f>
        <v>#DIV/0!</v>
      </c>
      <c r="I55" s="932" t="e">
        <f t="shared" si="8"/>
        <v>#DIV/0!</v>
      </c>
      <c r="J55" s="1714"/>
      <c r="K55" s="1714"/>
      <c r="L55" s="1714"/>
      <c r="M55" s="1714"/>
      <c r="N55" s="1715"/>
    </row>
    <row r="56" spans="1:19" s="147" customFormat="1">
      <c r="B56" s="779"/>
      <c r="C56" s="373" t="s">
        <v>614</v>
      </c>
      <c r="D56" s="939">
        <v>1</v>
      </c>
      <c r="E56" s="937">
        <f t="shared" si="6"/>
        <v>0</v>
      </c>
      <c r="F56" s="453" t="e">
        <f t="shared" si="7"/>
        <v>#DIV/0!</v>
      </c>
      <c r="G56" s="932" t="e">
        <f>F56*($E$48)</f>
        <v>#DIV/0!</v>
      </c>
      <c r="H56" s="932" t="e">
        <f t="shared" si="8"/>
        <v>#DIV/0!</v>
      </c>
      <c r="I56" s="932" t="e">
        <f t="shared" si="8"/>
        <v>#DIV/0!</v>
      </c>
      <c r="J56" s="1716"/>
      <c r="K56" s="1716"/>
      <c r="L56" s="1716"/>
      <c r="M56" s="1716"/>
      <c r="N56" s="1717"/>
    </row>
    <row r="57" spans="1:19" s="147" customFormat="1">
      <c r="C57" s="314" t="s">
        <v>364</v>
      </c>
      <c r="G57" s="940" t="e">
        <f>H57+I57</f>
        <v>#DIV/0!</v>
      </c>
      <c r="H57" s="940" t="e">
        <f>SUM(H53:H56)</f>
        <v>#DIV/0!</v>
      </c>
      <c r="I57" s="940" t="e">
        <f>SUM(I53:I56)</f>
        <v>#DIV/0!</v>
      </c>
      <c r="S57" s="335"/>
    </row>
    <row r="58" spans="1:19" s="147" customFormat="1">
      <c r="C58" s="314"/>
      <c r="S58" s="335"/>
    </row>
    <row r="59" spans="1:19" s="147" customFormat="1" ht="26.1">
      <c r="A59" s="150" t="s">
        <v>615</v>
      </c>
      <c r="C59" s="314"/>
      <c r="S59" s="335"/>
    </row>
    <row r="60" spans="1:19" s="147" customFormat="1" ht="43.5">
      <c r="B60" s="685" t="s">
        <v>616</v>
      </c>
      <c r="C60" s="773" t="s">
        <v>617</v>
      </c>
      <c r="D60" s="773" t="s">
        <v>618</v>
      </c>
      <c r="E60" s="773" t="s">
        <v>619</v>
      </c>
      <c r="S60" s="335"/>
    </row>
    <row r="61" spans="1:19" s="147" customFormat="1">
      <c r="B61" s="151">
        <v>1</v>
      </c>
      <c r="C61" s="772">
        <v>0.1158470708558683</v>
      </c>
      <c r="D61" s="772">
        <v>371.01143392977173</v>
      </c>
      <c r="E61" s="772">
        <v>17.000423437730081</v>
      </c>
      <c r="S61" s="335"/>
    </row>
    <row r="62" spans="1:19" s="147" customFormat="1">
      <c r="B62" s="151">
        <v>2</v>
      </c>
      <c r="C62" s="772">
        <v>0.24441236176923675</v>
      </c>
      <c r="D62" s="772">
        <v>758.00169118771828</v>
      </c>
      <c r="E62" s="772">
        <v>34.603135853736802</v>
      </c>
      <c r="S62" s="335"/>
    </row>
    <row r="63" spans="1:19" s="147" customFormat="1">
      <c r="B63" s="151">
        <v>3</v>
      </c>
      <c r="C63" s="772">
        <v>0.37665890501423166</v>
      </c>
      <c r="D63" s="772">
        <v>1138.7190964799811</v>
      </c>
      <c r="E63" s="772">
        <v>51.845833653126192</v>
      </c>
      <c r="S63" s="335"/>
    </row>
    <row r="64" spans="1:19" s="147" customFormat="1">
      <c r="B64" s="151">
        <v>4</v>
      </c>
      <c r="C64" s="772">
        <v>0.50645959929882001</v>
      </c>
      <c r="D64" s="772">
        <v>1502.9098111325618</v>
      </c>
      <c r="E64" s="772">
        <v>68.914343518596539</v>
      </c>
      <c r="S64" s="335"/>
    </row>
    <row r="65" spans="2:19" s="147" customFormat="1">
      <c r="B65" s="151">
        <v>5</v>
      </c>
      <c r="C65" s="772">
        <v>0.63371346476067514</v>
      </c>
      <c r="D65" s="772">
        <v>1851.9587756194765</v>
      </c>
      <c r="E65" s="772">
        <v>85.624660188729422</v>
      </c>
      <c r="S65" s="335"/>
    </row>
    <row r="66" spans="2:19" s="147" customFormat="1">
      <c r="B66" s="151">
        <v>10</v>
      </c>
      <c r="C66" s="772">
        <v>1.2581762505737135</v>
      </c>
      <c r="D66" s="772">
        <v>3641.881700168602</v>
      </c>
      <c r="E66" s="772">
        <v>168.18576324098626</v>
      </c>
      <c r="S66" s="335"/>
    </row>
    <row r="67" spans="2:19" s="147" customFormat="1">
      <c r="B67" s="151">
        <v>15</v>
      </c>
      <c r="C67" s="772">
        <v>1.8193269502060654</v>
      </c>
      <c r="D67" s="772">
        <v>5162.180698619949</v>
      </c>
      <c r="E67" s="772">
        <v>251.79606092388806</v>
      </c>
      <c r="S67" s="335"/>
    </row>
  </sheetData>
  <sheetProtection algorithmName="SHA-512" hashValue="lmxjPeylGe073GN8+b7/XQJDgPFz3UYYXfsg1QM66yYqFXUxsxtX9ptOjfJFiR52HXANB9BCp5rtUix3qfTgeA==" saltValue="+7AQtoOLZiIRok4br1362Q==" spinCount="100000" sheet="1" objects="1" scenarios="1"/>
  <mergeCells count="26">
    <mergeCell ref="E3:F3"/>
    <mergeCell ref="H45:L45"/>
    <mergeCell ref="L39:P39"/>
    <mergeCell ref="L40:P40"/>
    <mergeCell ref="H44:L44"/>
    <mergeCell ref="L37:P37"/>
    <mergeCell ref="L38:P38"/>
    <mergeCell ref="L30:P30"/>
    <mergeCell ref="L31:P31"/>
    <mergeCell ref="L33:P33"/>
    <mergeCell ref="L35:P35"/>
    <mergeCell ref="L12:P12"/>
    <mergeCell ref="E4:F4"/>
    <mergeCell ref="L14:P19"/>
    <mergeCell ref="E5:F5"/>
    <mergeCell ref="L36:P36"/>
    <mergeCell ref="H43:L43"/>
    <mergeCell ref="H46:L46"/>
    <mergeCell ref="H48:L48"/>
    <mergeCell ref="H47:L47"/>
    <mergeCell ref="H49:L49"/>
    <mergeCell ref="J54:N54"/>
    <mergeCell ref="J55:N55"/>
    <mergeCell ref="J56:N56"/>
    <mergeCell ref="J52:N52"/>
    <mergeCell ref="J53:N5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E75C-9EA5-43E1-80C8-AA4B79DA54E6}">
  <sheetPr codeName="Sheet23">
    <tabColor theme="5" tint="0.79998168889431442"/>
  </sheetPr>
  <dimension ref="A1:J47"/>
  <sheetViews>
    <sheetView view="pageLayout" zoomScale="115" zoomScaleNormal="100" zoomScalePageLayoutView="115" workbookViewId="0">
      <selection activeCell="F8" sqref="F8"/>
    </sheetView>
  </sheetViews>
  <sheetFormatPr defaultRowHeight="14.45"/>
  <sheetData>
    <row r="1" spans="1:10" ht="26.1">
      <c r="A1" s="150" t="s">
        <v>51</v>
      </c>
      <c r="B1" s="275"/>
      <c r="C1" s="275"/>
      <c r="D1" s="275"/>
      <c r="E1" s="147"/>
      <c r="F1" s="147"/>
      <c r="G1" s="147"/>
      <c r="H1" s="147"/>
      <c r="I1" s="147"/>
      <c r="J1" s="147"/>
    </row>
    <row r="2" spans="1:10">
      <c r="A2" s="289" t="s">
        <v>620</v>
      </c>
      <c r="B2" s="1758" t="str">
        <f>'User Inputs and Savings'!$C$6</f>
        <v/>
      </c>
      <c r="C2" s="1758"/>
      <c r="D2" s="1758"/>
      <c r="E2" s="1758"/>
      <c r="F2" s="1758"/>
      <c r="G2" s="1758"/>
      <c r="H2" s="1758"/>
      <c r="I2" s="147"/>
      <c r="J2" s="147"/>
    </row>
    <row r="3" spans="1:10">
      <c r="A3" s="289" t="s">
        <v>621</v>
      </c>
      <c r="B3" s="1758" t="str">
        <f>'User Inputs and Savings'!$H$8</f>
        <v/>
      </c>
      <c r="C3" s="1758"/>
      <c r="D3" s="1758"/>
      <c r="E3" s="1758"/>
      <c r="F3" s="1758"/>
      <c r="G3" s="1758"/>
      <c r="H3" s="1758"/>
      <c r="I3" s="147"/>
      <c r="J3" s="147"/>
    </row>
    <row r="4" spans="1:10" ht="14.45" customHeight="1">
      <c r="A4" s="147"/>
      <c r="B4" s="147"/>
      <c r="C4" s="147"/>
      <c r="D4" s="147"/>
      <c r="E4" s="147"/>
      <c r="F4" s="147"/>
      <c r="G4" s="147"/>
      <c r="H4" s="147"/>
      <c r="I4" s="147"/>
      <c r="J4" s="147"/>
    </row>
    <row r="5" spans="1:10" ht="27.6" customHeight="1">
      <c r="A5" s="1754" t="s">
        <v>622</v>
      </c>
      <c r="B5" s="1754"/>
      <c r="C5" s="1754"/>
      <c r="D5" s="1754"/>
      <c r="E5" s="1754"/>
      <c r="F5" s="1754"/>
      <c r="G5" s="1754"/>
      <c r="H5" s="1754"/>
      <c r="I5" s="1754"/>
      <c r="J5" s="1754"/>
    </row>
    <row r="6" spans="1:10">
      <c r="A6" s="1755" t="s">
        <v>547</v>
      </c>
      <c r="B6" s="1756"/>
      <c r="C6" s="1756"/>
      <c r="D6" s="1756"/>
      <c r="E6" s="1756"/>
      <c r="F6" s="1756"/>
      <c r="G6" s="1756"/>
      <c r="H6" s="1756"/>
      <c r="I6" s="1756"/>
      <c r="J6" s="1757"/>
    </row>
    <row r="7" spans="1:10">
      <c r="A7" s="290"/>
      <c r="B7" s="291"/>
      <c r="C7" s="291"/>
      <c r="D7" s="291"/>
      <c r="E7" s="291"/>
      <c r="F7" s="291"/>
      <c r="G7" s="291"/>
      <c r="H7" s="291"/>
      <c r="I7" s="291"/>
      <c r="J7" s="292"/>
    </row>
    <row r="8" spans="1:10">
      <c r="A8" s="293"/>
      <c r="B8" s="294"/>
      <c r="C8" s="294"/>
      <c r="D8" s="294"/>
      <c r="E8" s="294"/>
      <c r="F8" s="294"/>
      <c r="G8" s="294"/>
      <c r="H8" s="294"/>
      <c r="I8" s="294"/>
      <c r="J8" s="295"/>
    </row>
    <row r="9" spans="1:10">
      <c r="A9" s="293"/>
      <c r="B9" s="294"/>
      <c r="C9" s="294"/>
      <c r="D9" s="294"/>
      <c r="E9" s="294"/>
      <c r="F9" s="294"/>
      <c r="G9" s="294"/>
      <c r="H9" s="294"/>
      <c r="I9" s="294"/>
      <c r="J9" s="295"/>
    </row>
    <row r="10" spans="1:10">
      <c r="A10" s="293"/>
      <c r="B10" s="294"/>
      <c r="C10" s="294"/>
      <c r="D10" s="294"/>
      <c r="E10" s="294"/>
      <c r="F10" s="294"/>
      <c r="G10" s="294"/>
      <c r="H10" s="294"/>
      <c r="I10" s="294"/>
      <c r="J10" s="295"/>
    </row>
    <row r="11" spans="1:10">
      <c r="A11" s="293"/>
      <c r="B11" s="294"/>
      <c r="C11" s="294"/>
      <c r="D11" s="294"/>
      <c r="E11" s="294"/>
      <c r="F11" s="294"/>
      <c r="G11" s="294"/>
      <c r="H11" s="294"/>
      <c r="I11" s="294"/>
      <c r="J11" s="295"/>
    </row>
    <row r="12" spans="1:10">
      <c r="A12" s="293"/>
      <c r="B12" s="294"/>
      <c r="C12" s="294"/>
      <c r="D12" s="294"/>
      <c r="E12" s="294"/>
      <c r="F12" s="294"/>
      <c r="G12" s="294"/>
      <c r="H12" s="294"/>
      <c r="I12" s="294"/>
      <c r="J12" s="295"/>
    </row>
    <row r="13" spans="1:10">
      <c r="A13" s="293"/>
      <c r="B13" s="294"/>
      <c r="C13" s="294"/>
      <c r="D13" s="294"/>
      <c r="E13" s="294"/>
      <c r="F13" s="294"/>
      <c r="G13" s="294"/>
      <c r="H13" s="294"/>
      <c r="I13" s="294"/>
      <c r="J13" s="295"/>
    </row>
    <row r="14" spans="1:10">
      <c r="A14" s="293"/>
      <c r="B14" s="294"/>
      <c r="C14" s="294"/>
      <c r="D14" s="294"/>
      <c r="E14" s="294"/>
      <c r="F14" s="294"/>
      <c r="G14" s="294"/>
      <c r="H14" s="294"/>
      <c r="I14" s="294"/>
      <c r="J14" s="295"/>
    </row>
    <row r="15" spans="1:10">
      <c r="A15" s="293"/>
      <c r="B15" s="294"/>
      <c r="C15" s="294"/>
      <c r="D15" s="294"/>
      <c r="E15" s="294"/>
      <c r="F15" s="294"/>
      <c r="G15" s="294"/>
      <c r="H15" s="294"/>
      <c r="I15" s="294"/>
      <c r="J15" s="295"/>
    </row>
    <row r="16" spans="1:10">
      <c r="A16" s="293"/>
      <c r="B16" s="294"/>
      <c r="C16" s="294"/>
      <c r="D16" s="294"/>
      <c r="E16" s="294"/>
      <c r="F16" s="294"/>
      <c r="G16" s="294"/>
      <c r="H16" s="294"/>
      <c r="I16" s="294"/>
      <c r="J16" s="295"/>
    </row>
    <row r="17" spans="1:10">
      <c r="A17" s="293"/>
      <c r="B17" s="294"/>
      <c r="C17" s="294"/>
      <c r="D17" s="294"/>
      <c r="E17" s="294"/>
      <c r="F17" s="294"/>
      <c r="G17" s="294"/>
      <c r="H17" s="294"/>
      <c r="I17" s="294"/>
      <c r="J17" s="295"/>
    </row>
    <row r="18" spans="1:10">
      <c r="A18" s="293"/>
      <c r="B18" s="294"/>
      <c r="C18" s="294"/>
      <c r="D18" s="294"/>
      <c r="E18" s="294"/>
      <c r="F18" s="294"/>
      <c r="G18" s="294"/>
      <c r="H18" s="294"/>
      <c r="I18" s="294"/>
      <c r="J18" s="295"/>
    </row>
    <row r="19" spans="1:10">
      <c r="A19" s="293"/>
      <c r="B19" s="294"/>
      <c r="C19" s="294"/>
      <c r="D19" s="294"/>
      <c r="E19" s="294"/>
      <c r="F19" s="294"/>
      <c r="G19" s="294"/>
      <c r="H19" s="294"/>
      <c r="I19" s="294"/>
      <c r="J19" s="295"/>
    </row>
    <row r="20" spans="1:10">
      <c r="A20" s="293"/>
      <c r="B20" s="294"/>
      <c r="C20" s="294"/>
      <c r="D20" s="294"/>
      <c r="E20" s="294"/>
      <c r="F20" s="294"/>
      <c r="G20" s="294"/>
      <c r="H20" s="294"/>
      <c r="I20" s="294"/>
      <c r="J20" s="295"/>
    </row>
    <row r="21" spans="1:10">
      <c r="A21" s="293"/>
      <c r="B21" s="294"/>
      <c r="C21" s="294"/>
      <c r="D21" s="294"/>
      <c r="E21" s="294"/>
      <c r="F21" s="294"/>
      <c r="G21" s="294"/>
      <c r="H21" s="294"/>
      <c r="I21" s="294"/>
      <c r="J21" s="295"/>
    </row>
    <row r="22" spans="1:10">
      <c r="A22" s="293"/>
      <c r="B22" s="294"/>
      <c r="C22" s="294"/>
      <c r="D22" s="294"/>
      <c r="E22" s="294"/>
      <c r="F22" s="294"/>
      <c r="G22" s="294"/>
      <c r="H22" s="294"/>
      <c r="I22" s="294"/>
      <c r="J22" s="295"/>
    </row>
    <row r="23" spans="1:10">
      <c r="A23" s="293"/>
      <c r="B23" s="294"/>
      <c r="C23" s="294"/>
      <c r="D23" s="294"/>
      <c r="E23" s="294"/>
      <c r="F23" s="294"/>
      <c r="G23" s="294"/>
      <c r="H23" s="294"/>
      <c r="I23" s="294"/>
      <c r="J23" s="295"/>
    </row>
    <row r="24" spans="1:10">
      <c r="A24" s="293"/>
      <c r="B24" s="294"/>
      <c r="C24" s="294"/>
      <c r="D24" s="294"/>
      <c r="E24" s="294"/>
      <c r="F24" s="294"/>
      <c r="G24" s="294"/>
      <c r="H24" s="294"/>
      <c r="I24" s="294"/>
      <c r="J24" s="295"/>
    </row>
    <row r="25" spans="1:10">
      <c r="A25" s="293"/>
      <c r="B25" s="294"/>
      <c r="C25" s="294"/>
      <c r="D25" s="294"/>
      <c r="E25" s="294"/>
      <c r="F25" s="294"/>
      <c r="G25" s="294"/>
      <c r="H25" s="294"/>
      <c r="I25" s="294"/>
      <c r="J25" s="295"/>
    </row>
    <row r="26" spans="1:10">
      <c r="A26" s="293"/>
      <c r="B26" s="294"/>
      <c r="C26" s="294"/>
      <c r="D26" s="294"/>
      <c r="E26" s="294"/>
      <c r="F26" s="294"/>
      <c r="G26" s="294"/>
      <c r="H26" s="294"/>
      <c r="I26" s="294"/>
      <c r="J26" s="295"/>
    </row>
    <row r="27" spans="1:10">
      <c r="A27" s="293"/>
      <c r="B27" s="294"/>
      <c r="C27" s="294"/>
      <c r="D27" s="294"/>
      <c r="E27" s="294"/>
      <c r="F27" s="294"/>
      <c r="G27" s="294"/>
      <c r="H27" s="294"/>
      <c r="I27" s="294"/>
      <c r="J27" s="295"/>
    </row>
    <row r="28" spans="1:10">
      <c r="A28" s="293"/>
      <c r="B28" s="294"/>
      <c r="C28" s="294"/>
      <c r="D28" s="294"/>
      <c r="E28" s="294"/>
      <c r="F28" s="294"/>
      <c r="G28" s="294"/>
      <c r="H28" s="294"/>
      <c r="I28" s="294"/>
      <c r="J28" s="295"/>
    </row>
    <row r="29" spans="1:10">
      <c r="A29" s="293"/>
      <c r="B29" s="294"/>
      <c r="C29" s="294"/>
      <c r="D29" s="294"/>
      <c r="E29" s="294"/>
      <c r="F29" s="294"/>
      <c r="G29" s="294"/>
      <c r="H29" s="294"/>
      <c r="I29" s="294"/>
      <c r="J29" s="295"/>
    </row>
    <row r="30" spans="1:10">
      <c r="A30" s="293"/>
      <c r="B30" s="294"/>
      <c r="C30" s="294"/>
      <c r="D30" s="294"/>
      <c r="E30" s="294"/>
      <c r="F30" s="294"/>
      <c r="G30" s="294"/>
      <c r="H30" s="294"/>
      <c r="I30" s="294"/>
      <c r="J30" s="295"/>
    </row>
    <row r="31" spans="1:10">
      <c r="A31" s="293"/>
      <c r="B31" s="294"/>
      <c r="C31" s="294"/>
      <c r="D31" s="294"/>
      <c r="E31" s="294"/>
      <c r="F31" s="294"/>
      <c r="G31" s="294"/>
      <c r="H31" s="294"/>
      <c r="I31" s="294"/>
      <c r="J31" s="295"/>
    </row>
    <row r="32" spans="1:10">
      <c r="A32" s="293"/>
      <c r="B32" s="294"/>
      <c r="C32" s="294"/>
      <c r="D32" s="294"/>
      <c r="E32" s="294"/>
      <c r="F32" s="294"/>
      <c r="G32" s="294"/>
      <c r="H32" s="294"/>
      <c r="I32" s="294"/>
      <c r="J32" s="295"/>
    </row>
    <row r="33" spans="1:10">
      <c r="A33" s="293"/>
      <c r="B33" s="294"/>
      <c r="C33" s="294"/>
      <c r="D33" s="294"/>
      <c r="E33" s="294"/>
      <c r="F33" s="294"/>
      <c r="G33" s="294"/>
      <c r="H33" s="294"/>
      <c r="I33" s="294"/>
      <c r="J33" s="295"/>
    </row>
    <row r="34" spans="1:10">
      <c r="A34" s="293"/>
      <c r="B34" s="294"/>
      <c r="C34" s="294"/>
      <c r="D34" s="294"/>
      <c r="E34" s="294"/>
      <c r="F34" s="294"/>
      <c r="G34" s="294"/>
      <c r="H34" s="294"/>
      <c r="I34" s="294"/>
      <c r="J34" s="295"/>
    </row>
    <row r="35" spans="1:10">
      <c r="A35" s="293"/>
      <c r="B35" s="294"/>
      <c r="C35" s="294"/>
      <c r="D35" s="294"/>
      <c r="E35" s="294"/>
      <c r="F35" s="294"/>
      <c r="G35" s="294"/>
      <c r="H35" s="294"/>
      <c r="I35" s="294"/>
      <c r="J35" s="295"/>
    </row>
    <row r="36" spans="1:10">
      <c r="A36" s="293"/>
      <c r="B36" s="294"/>
      <c r="C36" s="294"/>
      <c r="D36" s="294"/>
      <c r="E36" s="294"/>
      <c r="F36" s="294"/>
      <c r="G36" s="294"/>
      <c r="H36" s="294"/>
      <c r="I36" s="294"/>
      <c r="J36" s="295"/>
    </row>
    <row r="37" spans="1:10">
      <c r="A37" s="293"/>
      <c r="B37" s="294"/>
      <c r="C37" s="294"/>
      <c r="D37" s="294"/>
      <c r="E37" s="294"/>
      <c r="F37" s="294"/>
      <c r="G37" s="294"/>
      <c r="H37" s="294"/>
      <c r="I37" s="294"/>
      <c r="J37" s="295"/>
    </row>
    <row r="38" spans="1:10">
      <c r="A38" s="293"/>
      <c r="B38" s="294"/>
      <c r="C38" s="294"/>
      <c r="D38" s="294"/>
      <c r="E38" s="294"/>
      <c r="F38" s="294"/>
      <c r="G38" s="294"/>
      <c r="H38" s="294"/>
      <c r="I38" s="294"/>
      <c r="J38" s="295"/>
    </row>
    <row r="39" spans="1:10">
      <c r="A39" s="293"/>
      <c r="B39" s="294"/>
      <c r="C39" s="294"/>
      <c r="D39" s="294"/>
      <c r="E39" s="294"/>
      <c r="F39" s="294"/>
      <c r="G39" s="294"/>
      <c r="H39" s="294"/>
      <c r="I39" s="294"/>
      <c r="J39" s="295"/>
    </row>
    <row r="40" spans="1:10">
      <c r="A40" s="293"/>
      <c r="B40" s="294"/>
      <c r="C40" s="294"/>
      <c r="D40" s="294"/>
      <c r="E40" s="294"/>
      <c r="F40" s="294"/>
      <c r="G40" s="294"/>
      <c r="H40" s="294"/>
      <c r="I40" s="294"/>
      <c r="J40" s="295"/>
    </row>
    <row r="41" spans="1:10">
      <c r="A41" s="293"/>
      <c r="B41" s="294"/>
      <c r="C41" s="294"/>
      <c r="D41" s="294"/>
      <c r="E41" s="294"/>
      <c r="F41" s="294"/>
      <c r="G41" s="294"/>
      <c r="H41" s="294"/>
      <c r="I41" s="294"/>
      <c r="J41" s="295"/>
    </row>
    <row r="42" spans="1:10">
      <c r="A42" s="293"/>
      <c r="B42" s="294"/>
      <c r="C42" s="294"/>
      <c r="D42" s="294"/>
      <c r="E42" s="294"/>
      <c r="F42" s="294"/>
      <c r="G42" s="294"/>
      <c r="H42" s="294"/>
      <c r="I42" s="294"/>
      <c r="J42" s="295"/>
    </row>
    <row r="43" spans="1:10">
      <c r="A43" s="293"/>
      <c r="B43" s="294"/>
      <c r="C43" s="294"/>
      <c r="D43" s="294"/>
      <c r="E43" s="294"/>
      <c r="F43" s="294"/>
      <c r="G43" s="294"/>
      <c r="H43" s="294"/>
      <c r="I43" s="294"/>
      <c r="J43" s="295"/>
    </row>
    <row r="44" spans="1:10">
      <c r="A44" s="293"/>
      <c r="B44" s="294"/>
      <c r="C44" s="294"/>
      <c r="D44" s="294"/>
      <c r="E44" s="294"/>
      <c r="F44" s="294"/>
      <c r="G44" s="294"/>
      <c r="H44" s="294"/>
      <c r="I44" s="294"/>
      <c r="J44" s="295"/>
    </row>
    <row r="45" spans="1:10">
      <c r="A45" s="296"/>
      <c r="B45" s="297"/>
      <c r="C45" s="297"/>
      <c r="D45" s="297"/>
      <c r="E45" s="297"/>
      <c r="F45" s="297"/>
      <c r="G45" s="297"/>
      <c r="H45" s="297"/>
      <c r="I45" s="297"/>
      <c r="J45" s="298"/>
    </row>
    <row r="46" spans="1:10">
      <c r="A46" s="147"/>
      <c r="B46" s="147"/>
      <c r="C46" s="147"/>
      <c r="D46" s="147"/>
      <c r="E46" s="147"/>
      <c r="F46" s="147"/>
      <c r="G46" s="147"/>
      <c r="H46" s="147"/>
      <c r="I46" s="147"/>
      <c r="J46" s="147"/>
    </row>
    <row r="47" spans="1:10">
      <c r="A47" s="147"/>
      <c r="B47" s="147"/>
      <c r="C47" s="147"/>
      <c r="D47" s="147"/>
      <c r="E47" s="147"/>
      <c r="F47" s="147"/>
      <c r="G47" s="147"/>
      <c r="H47" s="147"/>
      <c r="I47" s="147"/>
      <c r="J47" s="147"/>
    </row>
  </sheetData>
  <mergeCells count="4">
    <mergeCell ref="A5:J5"/>
    <mergeCell ref="A6:J6"/>
    <mergeCell ref="B2:H2"/>
    <mergeCell ref="B3:H3"/>
  </mergeCells>
  <pageMargins left="0.7" right="0.7" top="0.75" bottom="0.75" header="0.3" footer="0.3"/>
  <pageSetup orientation="portrait" r:id="rId1"/>
  <headerFooter>
    <oddHeader>&amp;L&amp;D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36041c6-4459-43d1-9a03-fc665811737c">
      <UserInfo>
        <DisplayName/>
        <AccountId xsi:nil="true"/>
        <AccountType/>
      </UserInfo>
    </SharedWithUsers>
    <TaxCatchAll xmlns="536041c6-4459-43d1-9a03-fc665811737c" xsi:nil="true"/>
    <lcf76f155ced4ddcb4097134ff3c332f xmlns="9dbffdf4-0e78-48ef-bf1a-204843e8e41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D233E1D0BECC4B868D9D520EEE22CC" ma:contentTypeVersion="18" ma:contentTypeDescription="Create a new document." ma:contentTypeScope="" ma:versionID="c88ca07b560e36840938f459022115be">
  <xsd:schema xmlns:xsd="http://www.w3.org/2001/XMLSchema" xmlns:xs="http://www.w3.org/2001/XMLSchema" xmlns:p="http://schemas.microsoft.com/office/2006/metadata/properties" xmlns:ns2="9dbffdf4-0e78-48ef-bf1a-204843e8e417" xmlns:ns3="536041c6-4459-43d1-9a03-fc665811737c" targetNamespace="http://schemas.microsoft.com/office/2006/metadata/properties" ma:root="true" ma:fieldsID="a2e13217688edb5e9721b52d6f546dc5" ns2:_="" ns3:_="">
    <xsd:import namespace="9dbffdf4-0e78-48ef-bf1a-204843e8e417"/>
    <xsd:import namespace="536041c6-4459-43d1-9a03-fc66581173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bffdf4-0e78-48ef-bf1a-204843e8e4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82b855a-bbdf-430d-a074-13f3413edae0"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6041c6-4459-43d1-9a03-fc66581173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0df9a44-170d-4e4b-9adb-b364bce6933f}" ma:internalName="TaxCatchAll" ma:showField="CatchAllData" ma:web="536041c6-4459-43d1-9a03-fc66581173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718373-E037-4193-8BAF-45F397A34928}"/>
</file>

<file path=customXml/itemProps2.xml><?xml version="1.0" encoding="utf-8"?>
<ds:datastoreItem xmlns:ds="http://schemas.openxmlformats.org/officeDocument/2006/customXml" ds:itemID="{6F611075-4BC0-4C06-B11C-0BC643737A2A}"/>
</file>

<file path=customXml/itemProps3.xml><?xml version="1.0" encoding="utf-8"?>
<ds:datastoreItem xmlns:ds="http://schemas.openxmlformats.org/officeDocument/2006/customXml" ds:itemID="{5FBE3495-9C5A-4CB3-A78A-6AB96F5594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Brougher, Whitney</dc:creator>
  <cp:keywords/>
  <dc:description/>
  <cp:lastModifiedBy/>
  <cp:revision/>
  <dcterms:created xsi:type="dcterms:W3CDTF">2022-04-22T19:24:30Z</dcterms:created>
  <dcterms:modified xsi:type="dcterms:W3CDTF">2024-04-24T13:59:31Z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0x01010014D233E1D0BECC4B868D9D520EEE22CC</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